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johanb\Desktop\2016 2017 Final Budget to NT\"/>
    </mc:Choice>
  </mc:AlternateContent>
  <workbookProtection workbookPassword="FB84" lockStructure="1"/>
  <bookViews>
    <workbookView xWindow="0" yWindow="0" windowWidth="19200" windowHeight="7155" tabRatio="905" activeTab="1"/>
  </bookViews>
  <sheets>
    <sheet name="START" sheetId="337" r:id="rId1"/>
    <sheet name="Instructions" sheetId="338" r:id="rId2"/>
    <sheet name="Template names" sheetId="100" state="veryHidden" r:id="rId3"/>
    <sheet name="Lookup and lists" sheetId="333" state="veryHidden" r:id="rId4"/>
    <sheet name="D1-Sum" sheetId="279" r:id="rId5"/>
    <sheet name="D2-FinPerf" sheetId="65" r:id="rId6"/>
    <sheet name="D3-Capex" sheetId="202" r:id="rId7"/>
    <sheet name="D4-FinPos" sheetId="201" r:id="rId8"/>
    <sheet name="D5-CFlow" sheetId="200" r:id="rId9"/>
    <sheet name="SD1" sheetId="199" r:id="rId10"/>
    <sheet name="SD2" sheetId="198" r:id="rId11"/>
    <sheet name="SD3" sheetId="243" r:id="rId12"/>
    <sheet name="SD4" sheetId="285" r:id="rId13"/>
    <sheet name="SD5" sheetId="336" r:id="rId14"/>
    <sheet name="SD6" sheetId="204" r:id="rId15"/>
    <sheet name="SD7a" sheetId="284" r:id="rId16"/>
    <sheet name="SD7b" sheetId="335" r:id="rId17"/>
    <sheet name="SD7c" sheetId="334" r:id="rId18"/>
    <sheet name="SD8" sheetId="330" r:id="rId19"/>
    <sheet name="SD9" sheetId="329" r:id="rId20"/>
    <sheet name="SD10" sheetId="283" r:id="rId21"/>
    <sheet name="SD11" sheetId="282" r:id="rId22"/>
    <sheet name="Sheet1" sheetId="339" r:id="rId23"/>
    <sheet name="Sheet2" sheetId="340" r:id="rId24"/>
  </sheets>
  <externalReferences>
    <externalReference r:id="rId25"/>
    <externalReference r:id="rId26"/>
    <externalReference r:id="rId27"/>
    <externalReference r:id="rId28"/>
    <externalReference r:id="rId29"/>
    <externalReference r:id="rId30"/>
  </externalReferences>
  <definedNames>
    <definedName name="_ADJ1" localSheetId="1">'[1]Template names'!#REF!</definedName>
    <definedName name="_ADJ10" localSheetId="1">'[1]Template names'!#REF!</definedName>
    <definedName name="_ADJ11" localSheetId="1">'[1]Template names'!#REF!</definedName>
    <definedName name="_ADJ12" localSheetId="1">'[1]Template names'!#REF!</definedName>
    <definedName name="_ADJ13" localSheetId="1">'[1]Template names'!#REF!</definedName>
    <definedName name="_ADJ14" localSheetId="1">'[1]Template names'!#REF!</definedName>
    <definedName name="_ADJ16" localSheetId="1">'[1]Template names'!#REF!</definedName>
    <definedName name="_ADJ17" localSheetId="1">'[1]Template names'!#REF!</definedName>
    <definedName name="_ADJ18" localSheetId="1">'[1]Template names'!#REF!</definedName>
    <definedName name="_ADJ19" localSheetId="1">'[1]Template names'!#REF!</definedName>
    <definedName name="_ADJ2" localSheetId="1">'[1]Template names'!#REF!</definedName>
    <definedName name="_ADJ3" localSheetId="1">'[1]Template names'!#REF!</definedName>
    <definedName name="_ADJ4" localSheetId="1">'[1]Template names'!#REF!</definedName>
    <definedName name="_ADJ5" localSheetId="1">'[1]Template names'!#REF!</definedName>
    <definedName name="_ADJ6" localSheetId="1">'[1]Template names'!#REF!</definedName>
    <definedName name="_ADJ7" localSheetId="1">'[1]Template names'!#REF!</definedName>
    <definedName name="_ADJ8" localSheetId="1">'[1]Template names'!#REF!</definedName>
    <definedName name="_ADJ9" localSheetId="1">'[1]Template names'!#REF!</definedName>
    <definedName name="_ccf04" localSheetId="1">#REF!</definedName>
    <definedName name="_ccf05" localSheetId="1">#REF!</definedName>
    <definedName name="_ccf06">#REF!</definedName>
    <definedName name="_ccf07">#REF!</definedName>
    <definedName name="_ccf08">#REF!</definedName>
    <definedName name="_ccf09">#REF!</definedName>
    <definedName name="_ccf10">#REF!</definedName>
    <definedName name="_ccf11">#REF!</definedName>
    <definedName name="_ccf12">#REF!</definedName>
    <definedName name="_ccf13">#REF!</definedName>
    <definedName name="_cpi2">'[2]Balance Sheet'!$E$50</definedName>
    <definedName name="_cpi3">'[2]Balance Sheet'!$F$50</definedName>
    <definedName name="_DEP1">'Template names'!#REF!</definedName>
    <definedName name="_DEP10">'Template names'!#REF!</definedName>
    <definedName name="_DEP11">'Template names'!#REF!</definedName>
    <definedName name="_DEP12">'Template names'!#REF!</definedName>
    <definedName name="_DEP13">'Template names'!#REF!</definedName>
    <definedName name="_DEP14">'Template names'!#REF!</definedName>
    <definedName name="_DEP2">'Template names'!#REF!</definedName>
    <definedName name="_DEP3">'Template names'!#REF!</definedName>
    <definedName name="_DEP4">'Template names'!#REF!</definedName>
    <definedName name="_DEP5">'Template names'!#REF!</definedName>
    <definedName name="_DEP6">'Template names'!#REF!</definedName>
    <definedName name="_DEP7">'Template names'!#REF!</definedName>
    <definedName name="_DEP8">'Template names'!#REF!</definedName>
    <definedName name="_DEP9">'Template names'!#REF!</definedName>
    <definedName name="_ecf04" localSheetId="1">#REF!</definedName>
    <definedName name="_ecf05" localSheetId="1">#REF!</definedName>
    <definedName name="_ecf06">#REF!</definedName>
    <definedName name="_ecf07">#REF!</definedName>
    <definedName name="_ecf08">#REF!</definedName>
    <definedName name="_ecf09">#REF!</definedName>
    <definedName name="_ecf10">#REF!</definedName>
    <definedName name="_ecf11">#REF!</definedName>
    <definedName name="_ecf12">#REF!</definedName>
    <definedName name="_ecf13">#REF!</definedName>
    <definedName name="_emp04" localSheetId="1">#REF!</definedName>
    <definedName name="_emp05" localSheetId="1">#REF!</definedName>
    <definedName name="_emp06">#REF!</definedName>
    <definedName name="_emp07">#REF!</definedName>
    <definedName name="_emp08">#REF!</definedName>
    <definedName name="_emp09">#REF!</definedName>
    <definedName name="_emp10">#REF!</definedName>
    <definedName name="_emp11">#REF!</definedName>
    <definedName name="_emp12">#REF!</definedName>
    <definedName name="_emp13">#REF!</definedName>
    <definedName name="_emp14">#REF!</definedName>
    <definedName name="_emp15">#REF!</definedName>
    <definedName name="_emp16">#REF!</definedName>
    <definedName name="_emp17">#REF!</definedName>
    <definedName name="_emp18">#REF!</definedName>
    <definedName name="_emp19">#REF!</definedName>
    <definedName name="_emp20">#REF!</definedName>
    <definedName name="_emp21">#REF!</definedName>
    <definedName name="_Ent1">'Template names'!#REF!</definedName>
    <definedName name="_Ent2">'Template names'!#REF!</definedName>
    <definedName name="_Ent3">'Template names'!#REF!</definedName>
    <definedName name="_inf1" localSheetId="1">#REF!</definedName>
    <definedName name="_inf2" localSheetId="1">#REF!</definedName>
    <definedName name="_inf3" localSheetId="1">#REF!</definedName>
    <definedName name="_int04" localSheetId="1">#REF!</definedName>
    <definedName name="_int05" localSheetId="1">#REF!</definedName>
    <definedName name="_int06">#REF!</definedName>
    <definedName name="_int07">#REF!</definedName>
    <definedName name="_int08">#REF!</definedName>
    <definedName name="_int09">#REF!</definedName>
    <definedName name="_int10">#REF!</definedName>
    <definedName name="_int11">#REF!</definedName>
    <definedName name="_int12">#REF!</definedName>
    <definedName name="_int13">#REF!</definedName>
    <definedName name="_int14">#REF!</definedName>
    <definedName name="_int15">#REF!</definedName>
    <definedName name="_int16">#REF!</definedName>
    <definedName name="_int17">#REF!</definedName>
    <definedName name="_int18">#REF!</definedName>
    <definedName name="_int19">#REF!</definedName>
    <definedName name="_int20">#REF!</definedName>
    <definedName name="_inv04" localSheetId="1">#REF!</definedName>
    <definedName name="_inv05" localSheetId="1">#REF!</definedName>
    <definedName name="_inv06">#REF!</definedName>
    <definedName name="_inv07">#REF!</definedName>
    <definedName name="_inv08">#REF!</definedName>
    <definedName name="_inv09">#REF!</definedName>
    <definedName name="_inv10">#REF!</definedName>
    <definedName name="_inv11">#REF!</definedName>
    <definedName name="_inv12">#REF!</definedName>
    <definedName name="_inv13">#REF!</definedName>
    <definedName name="_MEB1" localSheetId="1">'[1]Template names'!#REF!</definedName>
    <definedName name="_MEB1">'Template names'!$B$81</definedName>
    <definedName name="_MEB10" localSheetId="1">'[1]Template names'!#REF!</definedName>
    <definedName name="_MEB10">'Template names'!$B$97</definedName>
    <definedName name="_MEB11" localSheetId="1">'[1]Template names'!#REF!</definedName>
    <definedName name="_MEB11">'Template names'!$B$98</definedName>
    <definedName name="_MEB12" localSheetId="1">'[1]Template names'!#REF!</definedName>
    <definedName name="_MEB12">'Template names'!$B$95</definedName>
    <definedName name="_MEB13">'Template names'!$B$96</definedName>
    <definedName name="_MEB2" localSheetId="1">'[1]Template names'!#REF!</definedName>
    <definedName name="_MEB2">'Template names'!$B$83</definedName>
    <definedName name="_MEB3" localSheetId="1">'[1]Template names'!#REF!</definedName>
    <definedName name="_MEB3">'Template names'!$B$84</definedName>
    <definedName name="_MEB4" localSheetId="1">'[1]Template names'!#REF!</definedName>
    <definedName name="_MEB4">'Template names'!$B$85</definedName>
    <definedName name="_MEB5" localSheetId="1">'[1]Template names'!#REF!</definedName>
    <definedName name="_MEB5">'Template names'!$B$88</definedName>
    <definedName name="_MEB6" localSheetId="1">'[1]Template names'!#REF!</definedName>
    <definedName name="_MEB6">'Template names'!$B$86</definedName>
    <definedName name="_MEB7" localSheetId="1">'[1]Template names'!#REF!</definedName>
    <definedName name="_MEB7">'Template names'!$B$87</definedName>
    <definedName name="_MEB8" localSheetId="1">'[1]Template names'!#REF!</definedName>
    <definedName name="_MEB8">'Template names'!$B$91</definedName>
    <definedName name="_MEB9" localSheetId="1">'[1]Template names'!#REF!</definedName>
    <definedName name="_MER1" localSheetId="1">'[1]Template names'!#REF!</definedName>
    <definedName name="_MER10" localSheetId="1">'[1]Template names'!#REF!</definedName>
    <definedName name="_MER11" localSheetId="1">'[1]Template names'!#REF!</definedName>
    <definedName name="_MER2" localSheetId="1">'[1]Template names'!#REF!</definedName>
    <definedName name="_MER3" localSheetId="1">'[1]Template names'!#REF!</definedName>
    <definedName name="_MER4" localSheetId="1">'[1]Template names'!#REF!</definedName>
    <definedName name="_MER5" localSheetId="1">'[1]Template names'!#REF!</definedName>
    <definedName name="_MER6" localSheetId="1">'[1]Template names'!#REF!</definedName>
    <definedName name="_MER7" localSheetId="1">'[1]Template names'!#REF!</definedName>
    <definedName name="_MER8" localSheetId="1">'[1]Template names'!#REF!</definedName>
    <definedName name="_MER9" localSheetId="1">'[1]Template names'!#REF!</definedName>
    <definedName name="_rat03" localSheetId="1">#REF!</definedName>
    <definedName name="_rat04" localSheetId="1">#REF!</definedName>
    <definedName name="_rat05" localSheetId="1">#REF!</definedName>
    <definedName name="_rat06" localSheetId="1">#REF!</definedName>
    <definedName name="_rat07" localSheetId="1">#REF!</definedName>
    <definedName name="_rat08" localSheetId="1">#REF!</definedName>
    <definedName name="_rat09" localSheetId="1">#REF!</definedName>
    <definedName name="_rat10" localSheetId="1">#REF!</definedName>
    <definedName name="_rat11" localSheetId="1">#REF!</definedName>
    <definedName name="_rat12" localSheetId="1">#REF!</definedName>
    <definedName name="_rat13" localSheetId="1">#REF!</definedName>
    <definedName name="_rgr05" localSheetId="1">#REF!</definedName>
    <definedName name="_rgr06">#REF!</definedName>
    <definedName name="_rgr07">#REF!</definedName>
    <definedName name="_rgr08">#REF!</definedName>
    <definedName name="_rgr09">#REF!</definedName>
    <definedName name="_rgr10">#REF!</definedName>
    <definedName name="_rgr11">#REF!</definedName>
    <definedName name="_rgr12">#REF!</definedName>
    <definedName name="_rgr13">#REF!</definedName>
    <definedName name="_rgr14">#REF!</definedName>
    <definedName name="_rgr15">#REF!</definedName>
    <definedName name="_rgr16">#REF!</definedName>
    <definedName name="_rgr17">#REF!</definedName>
    <definedName name="_rgr18">#REF!</definedName>
    <definedName name="_rgr19">#REF!</definedName>
    <definedName name="_rgr20">#REF!</definedName>
    <definedName name="_rmc05" localSheetId="1">#REF!</definedName>
    <definedName name="_rmc06">#REF!</definedName>
    <definedName name="_rmc07">#REF!</definedName>
    <definedName name="_rmc08">#REF!</definedName>
    <definedName name="_rmc09">#REF!</definedName>
    <definedName name="_rmc10">#REF!</definedName>
    <definedName name="_rmc11">#REF!</definedName>
    <definedName name="_rmc12">#REF!</definedName>
    <definedName name="_rmc13">#REF!</definedName>
    <definedName name="_rmc14">#REF!</definedName>
    <definedName name="_rmc15">#REF!</definedName>
    <definedName name="_rmc16">#REF!</definedName>
    <definedName name="_rmc17">#REF!</definedName>
    <definedName name="_rmc18">#REF!</definedName>
    <definedName name="_rmc19">#REF!</definedName>
    <definedName name="_rmc20">#REF!</definedName>
    <definedName name="_rmc21">#REF!</definedName>
    <definedName name="_Sch1">'Template names'!#REF!</definedName>
    <definedName name="_Sch10">'Template names'!#REF!</definedName>
    <definedName name="_sch11">'Template names'!#REF!</definedName>
    <definedName name="_Sch2">'Template names'!#REF!</definedName>
    <definedName name="_Sch3">'Template names'!#REF!</definedName>
    <definedName name="_Sch4">'Template names'!#REF!</definedName>
    <definedName name="_Sch5">'Template names'!#REF!</definedName>
    <definedName name="_Sch6">'Template names'!#REF!</definedName>
    <definedName name="_Sch7">'Template names'!#REF!</definedName>
    <definedName name="_Sch8">'Template names'!#REF!</definedName>
    <definedName name="_Sch9">'Template names'!#REF!</definedName>
    <definedName name="_sdc05" localSheetId="1">#REF!</definedName>
    <definedName name="_sdc06">#REF!</definedName>
    <definedName name="_sdc07">#REF!</definedName>
    <definedName name="_sdc08">#REF!</definedName>
    <definedName name="_sdc09">#REF!</definedName>
    <definedName name="_sdc10">#REF!</definedName>
    <definedName name="_sdc11">#REF!</definedName>
    <definedName name="_sdc12">#REF!</definedName>
    <definedName name="_sdc13">#REF!</definedName>
    <definedName name="_sdc14">#REF!</definedName>
    <definedName name="_sdc15">#REF!</definedName>
    <definedName name="_sdc16">#REF!</definedName>
    <definedName name="_sdc17">#REF!</definedName>
    <definedName name="_sdc18">#REF!</definedName>
    <definedName name="_sdc19">#REF!</definedName>
    <definedName name="_sdc20">#REF!</definedName>
    <definedName name="_wc05" localSheetId="1">#REF!</definedName>
    <definedName name="_wc06">#REF!</definedName>
    <definedName name="_wc07">#REF!</definedName>
    <definedName name="_wc08">#REF!</definedName>
    <definedName name="_wc09">#REF!</definedName>
    <definedName name="_wc10">#REF!</definedName>
    <definedName name="_wc11">#REF!</definedName>
    <definedName name="_wc12">#REF!</definedName>
    <definedName name="_wc13">#REF!</definedName>
    <definedName name="_wc14">#REF!</definedName>
    <definedName name="_wc15">#REF!</definedName>
    <definedName name="_wc16">#REF!</definedName>
    <definedName name="_wc17">#REF!</definedName>
    <definedName name="_wc18">#REF!</definedName>
    <definedName name="_wc19">#REF!</definedName>
    <definedName name="_wc20">#REF!</definedName>
    <definedName name="ADJ10plus" localSheetId="1">'[1]Template names'!#REF!</definedName>
    <definedName name="ADJ18A" localSheetId="1">'[1]Template names'!#REF!</definedName>
    <definedName name="ADJ18B" localSheetId="1">'[1]Template names'!#REF!</definedName>
    <definedName name="ADJ19B" localSheetId="1">'[1]Template names'!#REF!</definedName>
    <definedName name="ADJ8A" localSheetId="1">'[1]Template names'!#REF!</definedName>
    <definedName name="ADJ8B" localSheetId="1">'[1]Template names'!#REF!</definedName>
    <definedName name="ADJP1" localSheetId="1">'[1]Template names'!#REF!</definedName>
    <definedName name="adjsum" localSheetId="1">'[1]Template names'!#REF!</definedName>
    <definedName name="ADJTB1" localSheetId="1">'[1]Template names'!#REF!</definedName>
    <definedName name="ADJXX" localSheetId="1">'[1]Template names'!#REF!</definedName>
    <definedName name="assetsched">'Template names'!#REF!</definedName>
    <definedName name="avelife07">#REF!</definedName>
    <definedName name="avelife08">#REF!</definedName>
    <definedName name="avelife09">#REF!</definedName>
    <definedName name="avelife10">#REF!</definedName>
    <definedName name="avelife11">#REF!</definedName>
    <definedName name="avelife12">#REF!</definedName>
    <definedName name="avelife13">#REF!</definedName>
    <definedName name="balloon" localSheetId="1">#REF!</definedName>
    <definedName name="basedesc">'Template names'!$D$40:$D$40</definedName>
    <definedName name="baseindex">'Template names'!#REF!</definedName>
    <definedName name="Bus" localSheetId="1">#REF!</definedName>
    <definedName name="Capex">'D3-Capex'!$A$6</definedName>
    <definedName name="capexfactor" localSheetId="1">#REF!</definedName>
    <definedName name="capexlimit06">#REF!</definedName>
    <definedName name="capexlimit07">#REF!</definedName>
    <definedName name="capexlimit08">#REF!</definedName>
    <definedName name="capexlimit09">#REF!</definedName>
    <definedName name="capexrate04" localSheetId="1">#REF!</definedName>
    <definedName name="capexrate05" localSheetId="1">#REF!</definedName>
    <definedName name="capexrate06">#REF!</definedName>
    <definedName name="capexrate07">#REF!</definedName>
    <definedName name="capexrate08">#REF!</definedName>
    <definedName name="capexrate09">#REF!</definedName>
    <definedName name="capexrate10">#REF!</definedName>
    <definedName name="capexrate11">#REF!</definedName>
    <definedName name="capexrate12">#REF!</definedName>
    <definedName name="capexrate13">#REF!</definedName>
    <definedName name="capexrate14">#REF!</definedName>
    <definedName name="capexrate15">#REF!</definedName>
    <definedName name="capexrate16">#REF!</definedName>
    <definedName name="capexrate17">#REF!</definedName>
    <definedName name="capexrate18">#REF!</definedName>
    <definedName name="capexrate19">#REF!</definedName>
    <definedName name="capexrate20">#REF!</definedName>
    <definedName name="capexrate21">#REF!</definedName>
    <definedName name="Capytd" localSheetId="1">#REF!</definedName>
    <definedName name="Cash1">'Template names'!$B$72</definedName>
    <definedName name="Cash2">'Template names'!$B$73</definedName>
    <definedName name="cfactor08">#REF!</definedName>
    <definedName name="cfactor09">#REF!</definedName>
    <definedName name="cfactor10">#REF!</definedName>
    <definedName name="cfactor11">#REF!</definedName>
    <definedName name="cfactor12">#REF!</definedName>
    <definedName name="cfactor13">#REF!</definedName>
    <definedName name="Charges1">'Template names'!#REF!</definedName>
    <definedName name="choosebase">'Template names'!#REF!</definedName>
    <definedName name="Consolques">'Template names'!#REF!</definedName>
    <definedName name="cpix04" localSheetId="1">#REF!</definedName>
    <definedName name="cpix05" localSheetId="1">#REF!</definedName>
    <definedName name="cpix06">#REF!</definedName>
    <definedName name="cpix07">#REF!</definedName>
    <definedName name="cpix08">#REF!</definedName>
    <definedName name="cpix09">#REF!</definedName>
    <definedName name="cpix10">#REF!</definedName>
    <definedName name="cpix11">#REF!</definedName>
    <definedName name="cpix12">#REF!</definedName>
    <definedName name="cpix13">#REF!</definedName>
    <definedName name="cpix14">#REF!</definedName>
    <definedName name="cpix15">#REF!</definedName>
    <definedName name="cpix16">#REF!</definedName>
    <definedName name="cpix17">#REF!</definedName>
    <definedName name="cpix18">#REF!</definedName>
    <definedName name="cpix19">#REF!</definedName>
    <definedName name="cpix20">#REF!</definedName>
    <definedName name="cpix21">#REF!</definedName>
    <definedName name="credit06" localSheetId="1">#REF!</definedName>
    <definedName name="date">[3]Data!$B$2</definedName>
    <definedName name="debt03" localSheetId="1">#REF!</definedName>
    <definedName name="debt04" localSheetId="1">#REF!</definedName>
    <definedName name="debt05" localSheetId="1">#REF!</definedName>
    <definedName name="debt06">#REF!</definedName>
    <definedName name="debt07">#REF!</definedName>
    <definedName name="debt08">#REF!</definedName>
    <definedName name="debt09">#REF!</definedName>
    <definedName name="debt10">#REF!</definedName>
    <definedName name="debt11">#REF!</definedName>
    <definedName name="debt12">#REF!</definedName>
    <definedName name="debt13">#REF!</definedName>
    <definedName name="debt14">#REF!</definedName>
    <definedName name="debt15">#REF!</definedName>
    <definedName name="debt16">#REF!</definedName>
    <definedName name="debt17">#REF!</definedName>
    <definedName name="debt18">#REF!</definedName>
    <definedName name="debt19">#REF!</definedName>
    <definedName name="debt20">#REF!</definedName>
    <definedName name="debt21">#REF!</definedName>
    <definedName name="debtrev04" localSheetId="1">#REF!</definedName>
    <definedName name="debtrev05" localSheetId="1">#REF!</definedName>
    <definedName name="debtrev06">#REF!</definedName>
    <definedName name="debtrev07">#REF!</definedName>
    <definedName name="debtrev08">#REF!</definedName>
    <definedName name="debtrev09">#REF!</definedName>
    <definedName name="debtrev10">#REF!</definedName>
    <definedName name="debtrev11">#REF!</definedName>
    <definedName name="debtrev12">#REF!</definedName>
    <definedName name="debtrev13">#REF!</definedName>
    <definedName name="debtrev14">#REF!</definedName>
    <definedName name="debtrev15">#REF!</definedName>
    <definedName name="debtrev16">#REF!</definedName>
    <definedName name="debtrev17">#REF!</definedName>
    <definedName name="debtrev18">#REF!</definedName>
    <definedName name="debtrev19">#REF!</definedName>
    <definedName name="debtrev20">#REF!</definedName>
    <definedName name="debtrev21">#REF!</definedName>
    <definedName name="desc">'Template names'!$B$31</definedName>
    <definedName name="dfratio03">#REF!</definedName>
    <definedName name="dfratio04">#REF!</definedName>
    <definedName name="dfratio05">#REF!</definedName>
    <definedName name="dfratio06">#REF!</definedName>
    <definedName name="dfratioadj04">#REF!</definedName>
    <definedName name="dfration02">#REF!</definedName>
    <definedName name="ecchoice" localSheetId="1">#REF!</definedName>
    <definedName name="elec05" localSheetId="1">#REF!</definedName>
    <definedName name="elec06">#REF!</definedName>
    <definedName name="elec07">#REF!</definedName>
    <definedName name="elec08">#REF!</definedName>
    <definedName name="elec09">#REF!</definedName>
    <definedName name="elec10">#REF!</definedName>
    <definedName name="elec11">#REF!</definedName>
    <definedName name="elec12">#REF!</definedName>
    <definedName name="elec13">#REF!</definedName>
    <definedName name="elecbulk06">#REF!</definedName>
    <definedName name="elecextra">#REF!</definedName>
    <definedName name="elecrev06">#REF!</definedName>
    <definedName name="elecrev07">#REF!</definedName>
    <definedName name="elecrev08">#REF!</definedName>
    <definedName name="elecrev09">#REF!</definedName>
    <definedName name="elecrev10">#REF!</definedName>
    <definedName name="elecrev11">#REF!</definedName>
    <definedName name="elecrev12">#REF!</definedName>
    <definedName name="elecrev13">#REF!</definedName>
    <definedName name="elecrev14">#REF!</definedName>
    <definedName name="elecrev15">#REF!</definedName>
    <definedName name="elecrev16">#REF!</definedName>
    <definedName name="elecrev17">#REF!</definedName>
    <definedName name="elecrev18">#REF!</definedName>
    <definedName name="elecrev19">#REF!</definedName>
    <definedName name="elecrev20">#REF!</definedName>
    <definedName name="elecrev21">#REF!</definedName>
    <definedName name="entity">'Template names'!$B$76</definedName>
    <definedName name="entityshort">'Template names'!$B$77</definedName>
    <definedName name="EOYcapex">#REF!</definedName>
    <definedName name="eskom07" localSheetId="1">#REF!</definedName>
    <definedName name="fdil">'Template names'!$B$32</definedName>
    <definedName name="FinYear" localSheetId="1">Instructions!$X$36</definedName>
    <definedName name="finyears" localSheetId="1">#REF!</definedName>
    <definedName name="Fundnote">'Template names'!#REF!</definedName>
    <definedName name="Head1">'Template names'!$B$2</definedName>
    <definedName name="Head10">'Template names'!$B$17</definedName>
    <definedName name="Head11">'Template names'!$B$18</definedName>
    <definedName name="Head12">'Template names'!$B$19</definedName>
    <definedName name="Head13">'Template names'!$B$20</definedName>
    <definedName name="Head14">'Template names'!$B$21</definedName>
    <definedName name="Head15">'Template names'!$B$22</definedName>
    <definedName name="Head16">'Template names'!$B$23</definedName>
    <definedName name="Head17">'Template names'!$B$24</definedName>
    <definedName name="Head18">'Template names'!$B$25</definedName>
    <definedName name="Head19">'Template names'!$B$26</definedName>
    <definedName name="head1A">'Template names'!$B$3</definedName>
    <definedName name="head1b">'Template names'!$B$4</definedName>
    <definedName name="Head2">'Template names'!$B$5</definedName>
    <definedName name="Head20">'Template names'!$B$27</definedName>
    <definedName name="Head21">'Template names'!$B$28</definedName>
    <definedName name="Head22">'Template names'!$B$29</definedName>
    <definedName name="Head23">'Template names'!$B$30</definedName>
    <definedName name="Head24">'Template names'!$B$31</definedName>
    <definedName name="head27">'Template names'!$B$34</definedName>
    <definedName name="head27a">'Template names'!$B$35</definedName>
    <definedName name="Head29">'Template names'!$B$37</definedName>
    <definedName name="Head2A">'Template names'!$B$6</definedName>
    <definedName name="Head3">'Template names'!$B$7</definedName>
    <definedName name="Head30">'Template names'!$B$38</definedName>
    <definedName name="Head31">'Template names'!$B$39</definedName>
    <definedName name="Head32">'Template names'!$B$40</definedName>
    <definedName name="Head33">'Template names'!$B$41</definedName>
    <definedName name="Head34">'Template names'!$B$42</definedName>
    <definedName name="Head35">'Template names'!$B$43</definedName>
    <definedName name="Head36">'Template names'!$B$44</definedName>
    <definedName name="Head37">'Template names'!$B$45</definedName>
    <definedName name="Head38">'Template names'!$B$46</definedName>
    <definedName name="Head39">'Template names'!$B$47</definedName>
    <definedName name="Head3a">'Template names'!$B$8</definedName>
    <definedName name="Head4">'Template names'!$B$9</definedName>
    <definedName name="Head40">'Template names'!$B$48</definedName>
    <definedName name="Head41">'Template names'!$B$49</definedName>
    <definedName name="Head42">'Template names'!$B$50</definedName>
    <definedName name="Head43">'Template names'!$B$51</definedName>
    <definedName name="Head44">'Template names'!$B$52</definedName>
    <definedName name="Head45">'Template names'!$B$53</definedName>
    <definedName name="head46">'Template names'!$B$54</definedName>
    <definedName name="Head47">'Template names'!$B$55</definedName>
    <definedName name="Head48">'Template names'!$B$56</definedName>
    <definedName name="Head49">'Template names'!$B$57</definedName>
    <definedName name="Head5">'Template names'!$B$10</definedName>
    <definedName name="Head50">'Template names'!$B$58</definedName>
    <definedName name="Head51">'Template names'!$B$59</definedName>
    <definedName name="Head52">'Template names'!$B$60</definedName>
    <definedName name="Head53">'Template names'!$B$61</definedName>
    <definedName name="Head54">'Template names'!$B$62</definedName>
    <definedName name="Head55">'Template names'!$B$63</definedName>
    <definedName name="Head56">'Template names'!$B$64</definedName>
    <definedName name="Head57">'Template names'!$B$65</definedName>
    <definedName name="Head58">'Template names'!$B$66</definedName>
    <definedName name="Head59">'Template names'!$B$67</definedName>
    <definedName name="Head5A">'Template names'!$B$11</definedName>
    <definedName name="Head5b">'Template names'!$B$12</definedName>
    <definedName name="Head6">'Template names'!$B$13</definedName>
    <definedName name="Head7">'Template names'!$B$14</definedName>
    <definedName name="Head8">'Template names'!$B$15</definedName>
    <definedName name="Head9">'Template names'!$B$16</definedName>
    <definedName name="Headings">'Lookup and lists'!$A$1:$O$24</definedName>
    <definedName name="hhgr05" localSheetId="1">#REF!</definedName>
    <definedName name="hhgr06">#REF!</definedName>
    <definedName name="hhgr07">#REF!</definedName>
    <definedName name="hhgr08">#REF!</definedName>
    <definedName name="hhgr09">#REF!</definedName>
    <definedName name="hhgr10">#REF!</definedName>
    <definedName name="hhgr11">#REF!</definedName>
    <definedName name="hhgr12">#REF!</definedName>
    <definedName name="hhgr13">#REF!</definedName>
    <definedName name="hhgr14">#REF!</definedName>
    <definedName name="hhgr15">#REF!</definedName>
    <definedName name="hhgr16">#REF!</definedName>
    <definedName name="hhgr17">#REF!</definedName>
    <definedName name="hhgr18">#REF!</definedName>
    <definedName name="hhgr19">#REF!</definedName>
    <definedName name="hhgr20">#REF!</definedName>
    <definedName name="hhgr21">#REF!</definedName>
    <definedName name="incentive" localSheetId="1">#REF!</definedName>
    <definedName name="infra">#REF!</definedName>
    <definedName name="Infrarenewal">#REF!</definedName>
    <definedName name="infrastratnum">#REF!</definedName>
    <definedName name="Instructions" localSheetId="1">#REF!</definedName>
    <definedName name="inventory" localSheetId="1">#REF!</definedName>
    <definedName name="longterm" localSheetId="1">#REF!</definedName>
    <definedName name="MEAB1" localSheetId="1">'[1]Template names'!#REF!</definedName>
    <definedName name="MEAB10" localSheetId="1">'[1]Template names'!#REF!</definedName>
    <definedName name="MEAB11" localSheetId="1">'[1]Template names'!#REF!</definedName>
    <definedName name="MEAB2" localSheetId="1">'[1]Template names'!#REF!</definedName>
    <definedName name="MEAB3" localSheetId="1">'[1]Template names'!#REF!</definedName>
    <definedName name="MEAB4" localSheetId="1">'[1]Template names'!#REF!</definedName>
    <definedName name="MEAB5" localSheetId="1">'[1]Template names'!#REF!</definedName>
    <definedName name="MEAB6" localSheetId="1">'[1]Template names'!#REF!</definedName>
    <definedName name="MEAB7" localSheetId="1">'[1]Template names'!#REF!</definedName>
    <definedName name="MEAB8" localSheetId="1">'[1]Template names'!#REF!</definedName>
    <definedName name="MEAB9" localSheetId="1">'[1]Template names'!#REF!</definedName>
    <definedName name="MEABsum" localSheetId="1">'[1]Template names'!#REF!</definedName>
    <definedName name="MEB1A" localSheetId="1">'[1]Template names'!#REF!</definedName>
    <definedName name="MEB5a">'Template names'!$B$89</definedName>
    <definedName name="MEB5b">'Template names'!$B$90</definedName>
    <definedName name="MEB9a">'Template names'!$B$92</definedName>
    <definedName name="MEB9b">'Template names'!$B$93</definedName>
    <definedName name="MEB9c">'Template names'!$B$94</definedName>
    <definedName name="MEBsum" localSheetId="1">'[1]Template names'!#REF!</definedName>
    <definedName name="MEBsum">'Template names'!$B$80</definedName>
    <definedName name="MERsum" localSheetId="1">'[1]Template names'!#REF!</definedName>
    <definedName name="month">[3]Data!$B$1</definedName>
    <definedName name="MTREF" localSheetId="1">Instructions!$X$34</definedName>
    <definedName name="MTREF">Instructions!$X$34</definedName>
    <definedName name="muni" localSheetId="1">'[1]Template names'!$B$93</definedName>
    <definedName name="MuniEntities">'[1]Template names'!$B$94</definedName>
    <definedName name="MuniType">'[1]Template names'!$D$94</definedName>
    <definedName name="nersa07" localSheetId="1">#REF!</definedName>
    <definedName name="nersa08" localSheetId="1">#REF!</definedName>
    <definedName name="nethhgr05" localSheetId="1">#REF!</definedName>
    <definedName name="nethhgr06">#REF!</definedName>
    <definedName name="nethhgr07">#REF!</definedName>
    <definedName name="nethhgr08">#REF!</definedName>
    <definedName name="nethhgr09">#REF!</definedName>
    <definedName name="nethhgr10">#REF!</definedName>
    <definedName name="nethhgr11">#REF!</definedName>
    <definedName name="nethhgr12">#REF!</definedName>
    <definedName name="nethhgr13">#REF!</definedName>
    <definedName name="nethhgr14">#REF!</definedName>
    <definedName name="nethhgr15">#REF!</definedName>
    <definedName name="nethhgr16">#REF!</definedName>
    <definedName name="nethhgr17">#REF!</definedName>
    <definedName name="nethhgr18">#REF!</definedName>
    <definedName name="nethhgr19">#REF!</definedName>
    <definedName name="nethhgr20">#REF!</definedName>
    <definedName name="nethhgr21">#REF!</definedName>
    <definedName name="newTable25">'Template names'!#REF!</definedName>
    <definedName name="ninety" localSheetId="1">#REF!</definedName>
    <definedName name="Note20">[4]Names!$B$89</definedName>
    <definedName name="poorgr06">#REF!</definedName>
    <definedName name="_xlnm.Print_Area" localSheetId="4">'D1-Sum'!$A$1:$J$46</definedName>
    <definedName name="_xlnm.Print_Area" localSheetId="5">'D2-FinPerf'!$A$1:$K$50</definedName>
    <definedName name="_xlnm.Print_Area" localSheetId="7">'D4-FinPos'!$A$1:$K$46</definedName>
    <definedName name="_xlnm.Print_Area" localSheetId="8">'D5-CFlow'!$A$1:$K$39</definedName>
    <definedName name="_xlnm.Print_Area" localSheetId="1">Instructions!$A$1:$M$47</definedName>
    <definedName name="_xlnm.Print_Area" localSheetId="9">'SD1'!$A$1:$K$33</definedName>
    <definedName name="_xlnm.Print_Area" localSheetId="20">'SD10'!$A$1:$O$23</definedName>
    <definedName name="_xlnm.Print_Area" localSheetId="21">'SD11'!$A$1:$F$24</definedName>
    <definedName name="_xlnm.Print_Area" localSheetId="10">'SD2'!$A$1:$L$33</definedName>
    <definedName name="_xlnm.Print_Area" localSheetId="11">'SD3'!$A$1:$I$24</definedName>
    <definedName name="_xlnm.Print_Area" localSheetId="12">'SD4'!$A$1:$K$48</definedName>
    <definedName name="_xlnm.Print_Area" localSheetId="14">'SD6'!$A$1:$Q$51</definedName>
    <definedName name="_xlnm.Print_Area" localSheetId="15">SD7a!$A$1:$K$78</definedName>
    <definedName name="_xlnm.Print_Area" localSheetId="18">'SD8'!$A$1:$I$34</definedName>
    <definedName name="_xlnm.Print_Area" localSheetId="19">'SD9'!$A$1:$O$24</definedName>
    <definedName name="Rand000" localSheetId="1">#REF!</definedName>
    <definedName name="RandM">'Template names'!$B$74</definedName>
    <definedName name="Rates1">'Template names'!#REF!</definedName>
    <definedName name="Rates2">'Template names'!#REF!</definedName>
    <definedName name="Rates3">'Template names'!#REF!</definedName>
    <definedName name="REDHHGR06" localSheetId="1">#REF!</definedName>
    <definedName name="redhhgr07" localSheetId="1">#REF!</definedName>
    <definedName name="redrev06" localSheetId="1">#REF!</definedName>
    <definedName name="redrev07" localSheetId="1">#REF!</definedName>
    <definedName name="Reds" localSheetId="1">#REF!</definedName>
    <definedName name="renewyears">#REF!</definedName>
    <definedName name="Request0506" localSheetId="1">#REF!</definedName>
    <definedName name="resiprop">#REF!</definedName>
    <definedName name="result">'Template names'!$B$36</definedName>
    <definedName name="rmcRED06" localSheetId="1">#REF!</definedName>
    <definedName name="rmcred07" localSheetId="1">#REF!</definedName>
    <definedName name="roundfactor" localSheetId="1">#REF!</definedName>
    <definedName name="S71A" localSheetId="1">'[1]Template names'!#REF!</definedName>
    <definedName name="S71B" localSheetId="1">'[1]Template names'!#REF!</definedName>
    <definedName name="s71B8" localSheetId="1">'[1]Template names'!#REF!</definedName>
    <definedName name="s71B9" localSheetId="1">'[1]Template names'!#REF!</definedName>
    <definedName name="S71C" localSheetId="1">'[1]Template names'!#REF!</definedName>
    <definedName name="S71D" localSheetId="1">'[1]Template names'!#REF!</definedName>
    <definedName name="S71E" localSheetId="1">'[1]Template names'!#REF!</definedName>
    <definedName name="S71F" localSheetId="1">'[1]Template names'!#REF!</definedName>
    <definedName name="S71G" localSheetId="1">'[1]Template names'!#REF!</definedName>
    <definedName name="S71H" localSheetId="1">'[1]Template names'!#REF!</definedName>
    <definedName name="S71I" localSheetId="1">'[1]Template names'!#REF!</definedName>
    <definedName name="S71J" localSheetId="1">'[1]Template names'!#REF!</definedName>
    <definedName name="S71K" localSheetId="1">'[1]Template names'!#REF!</definedName>
    <definedName name="S71L" localSheetId="1">'[1]Template names'!#REF!</definedName>
    <definedName name="S71M" localSheetId="1">'[1]Template names'!#REF!</definedName>
    <definedName name="S71N" localSheetId="1">'[1]Template names'!#REF!</definedName>
    <definedName name="S71O" localSheetId="1">'[1]Template names'!#REF!</definedName>
    <definedName name="S71P" localSheetId="1">'[1]Template names'!#REF!</definedName>
    <definedName name="S71Q" localSheetId="1">'[1]Template names'!#REF!</definedName>
    <definedName name="S71SDBIP" localSheetId="1">'[1]Template names'!#REF!</definedName>
    <definedName name="s71sum" localSheetId="1">'[1]Template names'!#REF!</definedName>
    <definedName name="Scale">'Template names'!#REF!</definedName>
    <definedName name="scenario" localSheetId="1">#REF!</definedName>
    <definedName name="Sch1a">'Template names'!#REF!</definedName>
    <definedName name="Sch2N">'Template names'!#REF!</definedName>
    <definedName name="Sch5N">'Template names'!#REF!</definedName>
    <definedName name="Sch7N">'Template names'!#REF!</definedName>
    <definedName name="SDBIP1" localSheetId="1">'[1]Template names'!#REF!</definedName>
    <definedName name="SDBIP10" localSheetId="1">'[1]Template names'!#REF!</definedName>
    <definedName name="SDBIP2" localSheetId="1">'[1]Template names'!#REF!</definedName>
    <definedName name="SDBIP3" localSheetId="1">'[1]Template names'!#REF!</definedName>
    <definedName name="SDBIP4" localSheetId="1">'[1]Template names'!#REF!</definedName>
    <definedName name="SDBIP8" localSheetId="1">'[1]Template names'!#REF!</definedName>
    <definedName name="sdcred06">#REF!</definedName>
    <definedName name="SFPerf1">'Template names'!$B$68</definedName>
    <definedName name="SFPerf2">'Template names'!$B$69</definedName>
    <definedName name="SFpos1">'Template names'!$B$70</definedName>
    <definedName name="SFpos2">'Template names'!$B$71</definedName>
    <definedName name="TabC19">'Template names'!#REF!</definedName>
    <definedName name="TabC3" localSheetId="1">'[1]Template names'!#REF!</definedName>
    <definedName name="TabC4" localSheetId="1">'[1]Template names'!#REF!</definedName>
    <definedName name="TabC5" localSheetId="1">'[1]Template names'!#REF!</definedName>
    <definedName name="TabC6" localSheetId="1">'[1]Template names'!#REF!</definedName>
    <definedName name="Tabc7" localSheetId="1">'[1]Template names'!#REF!</definedName>
    <definedName name="Tabc8" localSheetId="1">'[1]Template names'!#REF!</definedName>
    <definedName name="Tabc9" localSheetId="1">'[1]Template names'!#REF!</definedName>
    <definedName name="Tablc8" localSheetId="1">'[1]Template names'!#REF!</definedName>
    <definedName name="Table1">'Template names'!#REF!</definedName>
    <definedName name="Table10">'Template names'!#REF!</definedName>
    <definedName name="Table11">'Template names'!#REF!</definedName>
    <definedName name="Table12">'Template names'!#REF!</definedName>
    <definedName name="Table13">'Template names'!#REF!</definedName>
    <definedName name="Table14">'Template names'!#REF!</definedName>
    <definedName name="Table14A">'Template names'!#REF!</definedName>
    <definedName name="Table14B">'Template names'!#REF!</definedName>
    <definedName name="Table15">'Template names'!#REF!</definedName>
    <definedName name="Table15A">'Template names'!#REF!</definedName>
    <definedName name="Table15New">'Template names'!#REF!</definedName>
    <definedName name="Table16">'Template names'!#REF!</definedName>
    <definedName name="Table17">'Template names'!#REF!</definedName>
    <definedName name="Table18">'Template names'!#REF!</definedName>
    <definedName name="Table19">'Template names'!#REF!</definedName>
    <definedName name="Table2">'Template names'!#REF!</definedName>
    <definedName name="Table20">'Template names'!#REF!</definedName>
    <definedName name="Table21">'Template names'!#REF!</definedName>
    <definedName name="Table22">'Template names'!#REF!</definedName>
    <definedName name="Table23">'Template names'!#REF!</definedName>
    <definedName name="Table24">'Template names'!$B$90</definedName>
    <definedName name="Table24A">'Template names'!#REF!</definedName>
    <definedName name="Table25">'Template names'!#REF!</definedName>
    <definedName name="Table26">'Template names'!#REF!</definedName>
    <definedName name="Table27">'Template names'!#REF!</definedName>
    <definedName name="Table28">'Template names'!#REF!</definedName>
    <definedName name="Table29">'Template names'!#REF!</definedName>
    <definedName name="Table3">'Template names'!#REF!</definedName>
    <definedName name="Table30">'Template names'!#REF!</definedName>
    <definedName name="Table31">'Template names'!#REF!</definedName>
    <definedName name="Table32">'Template names'!#REF!</definedName>
    <definedName name="Table33">'Template names'!#REF!</definedName>
    <definedName name="Table4">'Template names'!#REF!</definedName>
    <definedName name="Table5">'Template names'!#REF!</definedName>
    <definedName name="Table6">'Template names'!#REF!</definedName>
    <definedName name="Table7">'Template names'!#REF!</definedName>
    <definedName name="Table8">'Template names'!#REF!</definedName>
    <definedName name="Table9">'Template names'!#REF!</definedName>
    <definedName name="TableA24">'Template names'!$B$137</definedName>
    <definedName name="TableD7" localSheetId="1">'[1]Template names'!#REF!</definedName>
    <definedName name="TableD8" localSheetId="1">'[1]Template names'!#REF!</definedName>
    <definedName name="TableE4" localSheetId="1">'[1]Template names'!#REF!</definedName>
    <definedName name="TableE7" localSheetId="1">'[1]Template names'!#REF!</definedName>
    <definedName name="TableE9" localSheetId="1">'[1]Template names'!#REF!</definedName>
    <definedName name="TableF6" localSheetId="1">'[1]Template names'!#REF!</definedName>
    <definedName name="tariffdisc05" localSheetId="1">#REF!</definedName>
    <definedName name="tariffdisc06">#REF!</definedName>
    <definedName name="tariffdisc07">#REF!</definedName>
    <definedName name="tariffdisc08">#REF!</definedName>
    <definedName name="tariffdisc09">#REF!</definedName>
    <definedName name="tariffdisc10">#REF!</definedName>
    <definedName name="tariffdisc11">#REF!</definedName>
    <definedName name="tariffdisc12">#REF!</definedName>
    <definedName name="tariffdisc13">#REF!</definedName>
    <definedName name="tariffdisc14">#REF!</definedName>
    <definedName name="tariffdisc15">#REF!</definedName>
    <definedName name="tariffdisc16">#REF!</definedName>
    <definedName name="tariffdisc17">#REF!</definedName>
    <definedName name="tariffdisc18">#REF!</definedName>
    <definedName name="tariffdisc19">#REF!</definedName>
    <definedName name="tariffdisc20">#REF!</definedName>
    <definedName name="title1">#REF!</definedName>
    <definedName name="Vdesc">'Template names'!$B$33</definedName>
  </definedNames>
  <calcPr calcId="152511"/>
  <fileRecoveryPr autoRecover="0"/>
</workbook>
</file>

<file path=xl/calcChain.xml><?xml version="1.0" encoding="utf-8"?>
<calcChain xmlns="http://schemas.openxmlformats.org/spreadsheetml/2006/main">
  <c r="K35" i="65" l="1"/>
  <c r="J35" i="65"/>
  <c r="I35" i="65"/>
  <c r="H35" i="65"/>
  <c r="G35" i="65"/>
  <c r="F35" i="65"/>
  <c r="E35" i="65"/>
  <c r="D35" i="65"/>
  <c r="C35" i="65"/>
  <c r="K25" i="65" l="1"/>
  <c r="G34" i="285"/>
  <c r="M6" i="329" l="1"/>
  <c r="L6" i="329"/>
  <c r="K6" i="329"/>
  <c r="F20" i="330"/>
  <c r="E20" i="330"/>
  <c r="D20" i="330"/>
  <c r="C20" i="330"/>
  <c r="F19" i="330"/>
  <c r="E19" i="330"/>
  <c r="D19" i="330"/>
  <c r="C19" i="330"/>
  <c r="F18" i="330"/>
  <c r="E18" i="330"/>
  <c r="D18" i="330"/>
  <c r="C18" i="330"/>
  <c r="F17" i="330"/>
  <c r="E17" i="330"/>
  <c r="D17" i="330"/>
  <c r="C17" i="330"/>
  <c r="F16" i="330"/>
  <c r="E16" i="330"/>
  <c r="D16" i="330"/>
  <c r="C16" i="330"/>
  <c r="F15" i="330"/>
  <c r="E15" i="330"/>
  <c r="D15" i="330"/>
  <c r="C15" i="330"/>
  <c r="A20" i="330"/>
  <c r="A19" i="330"/>
  <c r="A18" i="330"/>
  <c r="A17" i="330"/>
  <c r="A16" i="330"/>
  <c r="A15" i="330"/>
  <c r="G57" i="284"/>
  <c r="G8" i="285"/>
  <c r="F8" i="285"/>
  <c r="F20" i="200"/>
  <c r="E43" i="201"/>
  <c r="H43" i="201"/>
  <c r="G7" i="202"/>
  <c r="C7" i="202"/>
  <c r="F20" i="65"/>
  <c r="I24" i="199" l="1"/>
  <c r="K34" i="285" l="1"/>
  <c r="J34" i="285"/>
  <c r="I34" i="285"/>
  <c r="K57" i="284" l="1"/>
  <c r="J57" i="284"/>
  <c r="I57" i="284"/>
  <c r="D8" i="285"/>
  <c r="C8" i="285"/>
  <c r="H6" i="201"/>
  <c r="E6" i="201"/>
  <c r="D6" i="201"/>
  <c r="C6" i="201"/>
  <c r="F9" i="282"/>
  <c r="F8" i="282"/>
  <c r="F7" i="282"/>
  <c r="F6" i="282"/>
  <c r="F5" i="282"/>
  <c r="A9" i="282"/>
  <c r="A8" i="282"/>
  <c r="A7" i="282"/>
  <c r="A6" i="282"/>
  <c r="A5" i="282"/>
  <c r="F26" i="330"/>
  <c r="E26" i="330"/>
  <c r="D26" i="330"/>
  <c r="C26" i="330"/>
  <c r="F25" i="330"/>
  <c r="E25" i="330"/>
  <c r="D25" i="330"/>
  <c r="C25" i="330"/>
  <c r="K8" i="285"/>
  <c r="J8" i="285"/>
  <c r="I8" i="285"/>
  <c r="K6" i="200"/>
  <c r="J6" i="200"/>
  <c r="I6" i="200"/>
  <c r="I18" i="201" l="1"/>
  <c r="J18" i="201" s="1"/>
  <c r="K18" i="201" s="1"/>
  <c r="K22" i="201" s="1"/>
  <c r="J36" i="279" s="1"/>
  <c r="I16" i="202"/>
  <c r="J7" i="279"/>
  <c r="I7" i="279"/>
  <c r="H7" i="279"/>
  <c r="G7" i="279"/>
  <c r="F7" i="279"/>
  <c r="E7" i="279"/>
  <c r="D7" i="279"/>
  <c r="C7" i="279"/>
  <c r="J9" i="279"/>
  <c r="I9" i="279"/>
  <c r="H9" i="279"/>
  <c r="G9" i="279"/>
  <c r="F9" i="279"/>
  <c r="E9" i="279"/>
  <c r="D9" i="279"/>
  <c r="C9" i="279"/>
  <c r="B9" i="279"/>
  <c r="B7" i="279"/>
  <c r="B25" i="204"/>
  <c r="B29" i="204"/>
  <c r="B49" i="204"/>
  <c r="B44" i="204"/>
  <c r="B38" i="204"/>
  <c r="B10" i="204"/>
  <c r="C36" i="336"/>
  <c r="C10" i="336"/>
  <c r="O24" i="204"/>
  <c r="M24" i="204" s="1"/>
  <c r="N24" i="204" s="1"/>
  <c r="O23" i="204"/>
  <c r="B85" i="100"/>
  <c r="A1" i="200" s="1"/>
  <c r="E16" i="202"/>
  <c r="E30" i="202"/>
  <c r="D16" i="202"/>
  <c r="D30" i="202"/>
  <c r="D31" i="202" s="1"/>
  <c r="C16" i="202"/>
  <c r="C30" i="202"/>
  <c r="D8" i="284"/>
  <c r="D11" i="284"/>
  <c r="D15" i="284"/>
  <c r="D19" i="284"/>
  <c r="D22" i="284"/>
  <c r="D28" i="284"/>
  <c r="D44" i="284"/>
  <c r="D48" i="284"/>
  <c r="D52" i="284"/>
  <c r="D66" i="284"/>
  <c r="D70" i="284"/>
  <c r="D74" i="284"/>
  <c r="D8" i="335"/>
  <c r="D11" i="335"/>
  <c r="D15" i="335"/>
  <c r="D19" i="335"/>
  <c r="D22" i="335"/>
  <c r="D28" i="335"/>
  <c r="D44" i="335"/>
  <c r="D48" i="335"/>
  <c r="D52" i="335"/>
  <c r="D66" i="335"/>
  <c r="D70" i="335"/>
  <c r="D74" i="335"/>
  <c r="E8" i="284"/>
  <c r="E11" i="284"/>
  <c r="E15" i="284"/>
  <c r="E19" i="284"/>
  <c r="E22" i="284"/>
  <c r="E28" i="284"/>
  <c r="E44" i="284"/>
  <c r="E48" i="284"/>
  <c r="E52" i="284"/>
  <c r="E66" i="284"/>
  <c r="E70" i="284"/>
  <c r="E74" i="284"/>
  <c r="E8" i="335"/>
  <c r="E11" i="335"/>
  <c r="E15" i="335"/>
  <c r="E19" i="335"/>
  <c r="E22" i="335"/>
  <c r="E28" i="335"/>
  <c r="E44" i="335"/>
  <c r="E48" i="335"/>
  <c r="E52" i="335"/>
  <c r="E66" i="335"/>
  <c r="E70" i="335"/>
  <c r="E74" i="335"/>
  <c r="F16" i="202"/>
  <c r="F30" i="202"/>
  <c r="F8" i="284"/>
  <c r="F11" i="284"/>
  <c r="F15" i="284"/>
  <c r="F19" i="284"/>
  <c r="F22" i="284"/>
  <c r="F28" i="284"/>
  <c r="F44" i="284"/>
  <c r="F48" i="284"/>
  <c r="F52" i="284"/>
  <c r="F66" i="284"/>
  <c r="F70" i="284"/>
  <c r="F74" i="284"/>
  <c r="F8" i="335"/>
  <c r="F11" i="335"/>
  <c r="F15" i="335"/>
  <c r="F19" i="335"/>
  <c r="F22" i="335"/>
  <c r="F28" i="335"/>
  <c r="F44" i="335"/>
  <c r="F48" i="335"/>
  <c r="F52" i="335"/>
  <c r="F66" i="335"/>
  <c r="F70" i="335"/>
  <c r="F74" i="335"/>
  <c r="G16" i="202"/>
  <c r="G30" i="202"/>
  <c r="G8" i="284"/>
  <c r="G11" i="284"/>
  <c r="G15" i="284"/>
  <c r="G19" i="284"/>
  <c r="G22" i="284"/>
  <c r="G28" i="284"/>
  <c r="G44" i="284"/>
  <c r="G48" i="284"/>
  <c r="G52" i="284"/>
  <c r="G66" i="284"/>
  <c r="G70" i="284"/>
  <c r="G74" i="284"/>
  <c r="G8" i="335"/>
  <c r="G11" i="335"/>
  <c r="G15" i="335"/>
  <c r="G19" i="335"/>
  <c r="G22" i="335"/>
  <c r="G28" i="335"/>
  <c r="G44" i="335"/>
  <c r="G48" i="335"/>
  <c r="G52" i="335"/>
  <c r="G66" i="335"/>
  <c r="G70" i="335"/>
  <c r="G74" i="335"/>
  <c r="H16" i="202"/>
  <c r="H30" i="202"/>
  <c r="H8" i="284"/>
  <c r="H11" i="284"/>
  <c r="H15" i="284"/>
  <c r="H19" i="284"/>
  <c r="H22" i="284"/>
  <c r="H28" i="284"/>
  <c r="H44" i="284"/>
  <c r="H48" i="284"/>
  <c r="H52" i="284"/>
  <c r="H66" i="284"/>
  <c r="H70" i="284"/>
  <c r="H74" i="284"/>
  <c r="H8" i="335"/>
  <c r="H11" i="335"/>
  <c r="H15" i="335"/>
  <c r="H19" i="335"/>
  <c r="H22" i="335"/>
  <c r="H28" i="335"/>
  <c r="H44" i="335"/>
  <c r="H48" i="335"/>
  <c r="H52" i="335"/>
  <c r="H66" i="335"/>
  <c r="H70" i="335"/>
  <c r="H74" i="335"/>
  <c r="I30" i="202"/>
  <c r="I8" i="284"/>
  <c r="I11" i="284"/>
  <c r="I15" i="284"/>
  <c r="I19" i="284"/>
  <c r="I22" i="284"/>
  <c r="I28" i="284"/>
  <c r="I44" i="284"/>
  <c r="I48" i="284"/>
  <c r="I52" i="284"/>
  <c r="I66" i="284"/>
  <c r="I70" i="284"/>
  <c r="I74" i="284"/>
  <c r="I8" i="335"/>
  <c r="I11" i="335"/>
  <c r="I15" i="335"/>
  <c r="I7" i="335" s="1"/>
  <c r="I78" i="335" s="1"/>
  <c r="I19" i="335"/>
  <c r="I22" i="335"/>
  <c r="I28" i="335"/>
  <c r="I44" i="335"/>
  <c r="I48" i="335"/>
  <c r="I52" i="335"/>
  <c r="I66" i="335"/>
  <c r="I70" i="335"/>
  <c r="I74" i="335"/>
  <c r="J16" i="202"/>
  <c r="J30" i="202"/>
  <c r="J8" i="284"/>
  <c r="J11" i="284"/>
  <c r="J15" i="284"/>
  <c r="J19" i="284"/>
  <c r="J22" i="284"/>
  <c r="J28" i="284"/>
  <c r="J44" i="284"/>
  <c r="J48" i="284"/>
  <c r="J52" i="284"/>
  <c r="J66" i="284"/>
  <c r="J70" i="284"/>
  <c r="J74" i="284"/>
  <c r="J8" i="335"/>
  <c r="J11" i="335"/>
  <c r="J15" i="335"/>
  <c r="J19" i="335"/>
  <c r="J22" i="335"/>
  <c r="J28" i="335"/>
  <c r="J44" i="335"/>
  <c r="J48" i="335"/>
  <c r="J52" i="335"/>
  <c r="J66" i="335"/>
  <c r="J70" i="335"/>
  <c r="J74" i="335"/>
  <c r="K16" i="202"/>
  <c r="K30" i="202"/>
  <c r="K8" i="284"/>
  <c r="K11" i="284"/>
  <c r="K15" i="284"/>
  <c r="K19" i="284"/>
  <c r="K22" i="284"/>
  <c r="K28" i="284"/>
  <c r="K44" i="284"/>
  <c r="K48" i="284"/>
  <c r="K52" i="284"/>
  <c r="K66" i="284"/>
  <c r="K70" i="284"/>
  <c r="K74" i="284"/>
  <c r="K8" i="335"/>
  <c r="K11" i="335"/>
  <c r="K15" i="335"/>
  <c r="K19" i="335"/>
  <c r="K22" i="335"/>
  <c r="K28" i="335"/>
  <c r="K44" i="335"/>
  <c r="K48" i="335"/>
  <c r="K52" i="335"/>
  <c r="K66" i="335"/>
  <c r="K70" i="335"/>
  <c r="K74" i="335"/>
  <c r="C8" i="284"/>
  <c r="C11" i="284"/>
  <c r="C15" i="284"/>
  <c r="C19" i="284"/>
  <c r="C22" i="284"/>
  <c r="C28" i="284"/>
  <c r="C44" i="284"/>
  <c r="C48" i="284"/>
  <c r="C52" i="284"/>
  <c r="C66" i="284"/>
  <c r="C70" i="284"/>
  <c r="C74" i="284"/>
  <c r="C8" i="335"/>
  <c r="C11" i="335"/>
  <c r="C15" i="335"/>
  <c r="C19" i="335"/>
  <c r="C22" i="335"/>
  <c r="C28" i="335"/>
  <c r="C44" i="335"/>
  <c r="C48" i="335"/>
  <c r="C52" i="335"/>
  <c r="C66" i="335"/>
  <c r="C70" i="335"/>
  <c r="C74" i="335"/>
  <c r="E16" i="200"/>
  <c r="E26" i="200"/>
  <c r="E35" i="200"/>
  <c r="D16" i="200"/>
  <c r="D26" i="200"/>
  <c r="D35" i="200"/>
  <c r="C44" i="279" s="1"/>
  <c r="C16" i="200"/>
  <c r="C26" i="200"/>
  <c r="C35" i="200"/>
  <c r="O13" i="204"/>
  <c r="O14" i="204"/>
  <c r="M14" i="204" s="1"/>
  <c r="N14" i="204" s="1"/>
  <c r="O15" i="204"/>
  <c r="M15" i="204" s="1"/>
  <c r="N15" i="204" s="1"/>
  <c r="O16" i="204"/>
  <c r="M16" i="204" s="1"/>
  <c r="N16" i="204" s="1"/>
  <c r="O17" i="204"/>
  <c r="M17" i="204" s="1"/>
  <c r="N17" i="204" s="1"/>
  <c r="O18" i="204"/>
  <c r="M18" i="204" s="1"/>
  <c r="N18" i="204" s="1"/>
  <c r="O19" i="204"/>
  <c r="M19" i="204" s="1"/>
  <c r="N19" i="204" s="1"/>
  <c r="O20" i="204"/>
  <c r="M20" i="204" s="1"/>
  <c r="N20" i="204" s="1"/>
  <c r="O21" i="204"/>
  <c r="M21" i="204" s="1"/>
  <c r="N21" i="204" s="1"/>
  <c r="O22" i="204"/>
  <c r="M22" i="204" s="1"/>
  <c r="N22" i="204" s="1"/>
  <c r="M23" i="204"/>
  <c r="P14" i="204"/>
  <c r="Q14" i="204"/>
  <c r="P15" i="204"/>
  <c r="Q15" i="204"/>
  <c r="P16" i="204"/>
  <c r="Q16" i="204"/>
  <c r="P17" i="204"/>
  <c r="Q17" i="204"/>
  <c r="P18" i="204"/>
  <c r="Q18" i="204"/>
  <c r="P19" i="204"/>
  <c r="Q19" i="204"/>
  <c r="P20" i="204"/>
  <c r="Q20" i="204"/>
  <c r="P21" i="204"/>
  <c r="Q21" i="204"/>
  <c r="P22" i="204"/>
  <c r="Q22" i="204"/>
  <c r="N23" i="204"/>
  <c r="P23" i="204"/>
  <c r="Q23" i="204"/>
  <c r="P24" i="204"/>
  <c r="Q24" i="204"/>
  <c r="B96" i="100"/>
  <c r="A1" i="329" s="1"/>
  <c r="B95" i="100"/>
  <c r="A1" i="330" s="1"/>
  <c r="B94" i="100"/>
  <c r="A1" i="334" s="1"/>
  <c r="B93" i="100"/>
  <c r="A1" i="335" s="1"/>
  <c r="B92" i="100"/>
  <c r="A1" i="284" s="1"/>
  <c r="B90" i="100"/>
  <c r="A1" i="336" s="1"/>
  <c r="X34" i="338"/>
  <c r="B23" i="100" s="1"/>
  <c r="L2" i="283" s="1"/>
  <c r="E8" i="333"/>
  <c r="B89" i="100"/>
  <c r="A1" i="285" s="1"/>
  <c r="B28" i="333"/>
  <c r="A1" i="337" s="1"/>
  <c r="E4" i="333"/>
  <c r="F64" i="198"/>
  <c r="F63" i="198"/>
  <c r="D41" i="198"/>
  <c r="D42" i="198"/>
  <c r="C22" i="65"/>
  <c r="C32" i="330"/>
  <c r="B5" i="279"/>
  <c r="B6" i="279"/>
  <c r="B8" i="279"/>
  <c r="B98" i="100"/>
  <c r="A1" i="282" s="1"/>
  <c r="C46" i="201"/>
  <c r="B13" i="279"/>
  <c r="J5" i="279"/>
  <c r="J6" i="279"/>
  <c r="J8" i="279"/>
  <c r="K22" i="65"/>
  <c r="L58" i="198" s="1"/>
  <c r="L61" i="198" s="1"/>
  <c r="I5" i="279"/>
  <c r="I6" i="279"/>
  <c r="I8" i="279"/>
  <c r="J22" i="65"/>
  <c r="K58" i="198" s="1"/>
  <c r="H5" i="279"/>
  <c r="H6" i="279"/>
  <c r="H8" i="279"/>
  <c r="I22" i="65"/>
  <c r="I39" i="65" s="1"/>
  <c r="I43" i="65" s="1"/>
  <c r="I45" i="65" s="1"/>
  <c r="G5" i="279"/>
  <c r="G6" i="279"/>
  <c r="G8" i="279"/>
  <c r="H22" i="65"/>
  <c r="H39" i="65" s="1"/>
  <c r="H43" i="65" s="1"/>
  <c r="H45" i="65" s="1"/>
  <c r="F5" i="279"/>
  <c r="F6" i="279"/>
  <c r="F8" i="279"/>
  <c r="G22" i="65"/>
  <c r="H58" i="198" s="1"/>
  <c r="H61" i="198" s="1"/>
  <c r="E5" i="279"/>
  <c r="E6" i="279"/>
  <c r="E8" i="279"/>
  <c r="F22" i="65"/>
  <c r="D5" i="279"/>
  <c r="D6" i="279"/>
  <c r="D8" i="279"/>
  <c r="E22" i="65"/>
  <c r="F58" i="198" s="1"/>
  <c r="F61" i="198" s="1"/>
  <c r="F31" i="198" s="1"/>
  <c r="C5" i="279"/>
  <c r="C6" i="279"/>
  <c r="C8" i="279"/>
  <c r="D22" i="65"/>
  <c r="D39" i="65" s="1"/>
  <c r="D43" i="65" s="1"/>
  <c r="D45" i="65" s="1"/>
  <c r="J21" i="279"/>
  <c r="I21" i="279"/>
  <c r="H21" i="279"/>
  <c r="G21" i="279"/>
  <c r="F21" i="279"/>
  <c r="E21" i="279"/>
  <c r="D21" i="279"/>
  <c r="C21" i="279"/>
  <c r="J11" i="279"/>
  <c r="J12" i="279"/>
  <c r="J13" i="279"/>
  <c r="J14" i="279"/>
  <c r="J15" i="279"/>
  <c r="J16" i="279"/>
  <c r="K37" i="65"/>
  <c r="K12" i="200" s="1"/>
  <c r="J20" i="279"/>
  <c r="I11" i="279"/>
  <c r="I12" i="279"/>
  <c r="I13" i="279"/>
  <c r="I14" i="279"/>
  <c r="I15" i="279"/>
  <c r="I16" i="279"/>
  <c r="J37" i="65"/>
  <c r="J12" i="200" s="1"/>
  <c r="I20" i="279"/>
  <c r="H11" i="279"/>
  <c r="H12" i="279"/>
  <c r="H13" i="279"/>
  <c r="H14" i="279"/>
  <c r="H15" i="279"/>
  <c r="H16" i="279"/>
  <c r="I37" i="65"/>
  <c r="I12" i="200" s="1"/>
  <c r="H20" i="279"/>
  <c r="G11" i="279"/>
  <c r="G12" i="279"/>
  <c r="G13" i="279"/>
  <c r="G14" i="279"/>
  <c r="G15" i="279"/>
  <c r="G16" i="279"/>
  <c r="H37" i="65"/>
  <c r="G20" i="279"/>
  <c r="F11" i="279"/>
  <c r="F12" i="279"/>
  <c r="F13" i="279"/>
  <c r="F14" i="279"/>
  <c r="F15" i="279"/>
  <c r="F16" i="279"/>
  <c r="G37" i="65"/>
  <c r="F20" i="279"/>
  <c r="E11" i="279"/>
  <c r="E12" i="279"/>
  <c r="E13" i="279"/>
  <c r="E14" i="279"/>
  <c r="E15" i="279"/>
  <c r="E16" i="279"/>
  <c r="F37" i="65"/>
  <c r="E20" i="279"/>
  <c r="D11" i="279"/>
  <c r="D12" i="279"/>
  <c r="D13" i="279"/>
  <c r="D14" i="279"/>
  <c r="D15" i="279"/>
  <c r="D16" i="279"/>
  <c r="E37" i="65"/>
  <c r="D20" i="279"/>
  <c r="C11" i="279"/>
  <c r="C12" i="279"/>
  <c r="C13" i="279"/>
  <c r="C14" i="279"/>
  <c r="C15" i="279"/>
  <c r="C16" i="279"/>
  <c r="D37" i="65"/>
  <c r="C20" i="279"/>
  <c r="E2" i="333"/>
  <c r="B97" i="100"/>
  <c r="B91" i="100"/>
  <c r="B88" i="100"/>
  <c r="A1" i="243" s="1"/>
  <c r="B87" i="100"/>
  <c r="A1" i="198" s="1"/>
  <c r="B86" i="100"/>
  <c r="A1" i="199" s="1"/>
  <c r="B84" i="100"/>
  <c r="A1" i="201" s="1"/>
  <c r="B83" i="100"/>
  <c r="A1" i="202" s="1"/>
  <c r="B81" i="100"/>
  <c r="A1" i="65" s="1"/>
  <c r="B80" i="100"/>
  <c r="A1" i="279" s="1"/>
  <c r="F2" i="333"/>
  <c r="G2" i="333"/>
  <c r="H2" i="333"/>
  <c r="I2" i="333"/>
  <c r="J2" i="333"/>
  <c r="K2" i="333"/>
  <c r="L2" i="333"/>
  <c r="M2" i="333"/>
  <c r="N2" i="333"/>
  <c r="O2" i="333"/>
  <c r="F3" i="333"/>
  <c r="G3" i="333"/>
  <c r="H3" i="333"/>
  <c r="I3" i="333"/>
  <c r="J3" i="333"/>
  <c r="K3" i="333"/>
  <c r="L3" i="333"/>
  <c r="M3" i="333"/>
  <c r="N3" i="333"/>
  <c r="O3" i="333"/>
  <c r="F4" i="333"/>
  <c r="G4" i="333"/>
  <c r="H4" i="333"/>
  <c r="I4" i="333"/>
  <c r="J4" i="333"/>
  <c r="K4" i="333"/>
  <c r="L4" i="333"/>
  <c r="M4" i="333"/>
  <c r="N4" i="333"/>
  <c r="O4" i="333"/>
  <c r="F5" i="333"/>
  <c r="G5" i="333"/>
  <c r="H5" i="333"/>
  <c r="I5" i="333"/>
  <c r="J5" i="333"/>
  <c r="K5" i="333"/>
  <c r="L5" i="333"/>
  <c r="M5" i="333"/>
  <c r="N5" i="333"/>
  <c r="O5" i="333"/>
  <c r="F6" i="333"/>
  <c r="G6" i="333"/>
  <c r="H6" i="333"/>
  <c r="I6" i="333"/>
  <c r="J6" i="333"/>
  <c r="K6" i="333"/>
  <c r="L6" i="333"/>
  <c r="M6" i="333"/>
  <c r="N6" i="333"/>
  <c r="O6" i="333"/>
  <c r="F7" i="333"/>
  <c r="G7" i="333"/>
  <c r="H7" i="333"/>
  <c r="I7" i="333"/>
  <c r="J7" i="333"/>
  <c r="K7" i="333"/>
  <c r="L7" i="333"/>
  <c r="M7" i="333"/>
  <c r="N7" i="333"/>
  <c r="O7" i="333"/>
  <c r="F8" i="333"/>
  <c r="G8" i="333"/>
  <c r="H8" i="333"/>
  <c r="I8" i="333"/>
  <c r="J8" i="333"/>
  <c r="K8" i="333"/>
  <c r="L8" i="333"/>
  <c r="M8" i="333"/>
  <c r="N8" i="333"/>
  <c r="O8" i="333"/>
  <c r="F9" i="333"/>
  <c r="G9" i="333"/>
  <c r="H9" i="333"/>
  <c r="I9" i="333"/>
  <c r="J9" i="333"/>
  <c r="K9" i="333"/>
  <c r="L9" i="333"/>
  <c r="M9" i="333"/>
  <c r="N9" i="333"/>
  <c r="O9" i="333"/>
  <c r="F10" i="333"/>
  <c r="G10" i="333"/>
  <c r="H10" i="333"/>
  <c r="I10" i="333"/>
  <c r="J10" i="333"/>
  <c r="K10" i="333"/>
  <c r="L10" i="333"/>
  <c r="M10" i="333"/>
  <c r="N10" i="333"/>
  <c r="O10" i="333"/>
  <c r="F11" i="333"/>
  <c r="G11" i="333"/>
  <c r="H11" i="333"/>
  <c r="I11" i="333"/>
  <c r="J11" i="333"/>
  <c r="K11" i="333"/>
  <c r="L11" i="333"/>
  <c r="M11" i="333"/>
  <c r="N11" i="333"/>
  <c r="O11" i="333"/>
  <c r="F12" i="333"/>
  <c r="G12" i="333"/>
  <c r="H12" i="333"/>
  <c r="I12" i="333"/>
  <c r="J12" i="333"/>
  <c r="K12" i="333"/>
  <c r="L12" i="333"/>
  <c r="M12" i="333"/>
  <c r="N12" i="333"/>
  <c r="O12" i="333"/>
  <c r="F13" i="333"/>
  <c r="G13" i="333"/>
  <c r="H13" i="333"/>
  <c r="I13" i="333"/>
  <c r="J13" i="333"/>
  <c r="K13" i="333"/>
  <c r="L13" i="333"/>
  <c r="M13" i="333"/>
  <c r="N13" i="333"/>
  <c r="O13" i="333"/>
  <c r="F14" i="333"/>
  <c r="G14" i="333"/>
  <c r="H14" i="333"/>
  <c r="I14" i="333"/>
  <c r="J14" i="333"/>
  <c r="K14" i="333"/>
  <c r="L14" i="333"/>
  <c r="M14" i="333"/>
  <c r="N14" i="333"/>
  <c r="O14" i="333"/>
  <c r="F15" i="333"/>
  <c r="G15" i="333"/>
  <c r="H15" i="333"/>
  <c r="I15" i="333"/>
  <c r="J15" i="333"/>
  <c r="K15" i="333"/>
  <c r="L15" i="333"/>
  <c r="M15" i="333"/>
  <c r="N15" i="333"/>
  <c r="O15" i="333"/>
  <c r="F16" i="333"/>
  <c r="G16" i="333"/>
  <c r="H16" i="333"/>
  <c r="I16" i="333"/>
  <c r="J16" i="333"/>
  <c r="K16" i="333"/>
  <c r="L16" i="333"/>
  <c r="M16" i="333"/>
  <c r="N16" i="333"/>
  <c r="O16" i="333"/>
  <c r="F17" i="333"/>
  <c r="G17" i="333"/>
  <c r="H17" i="333"/>
  <c r="I17" i="333"/>
  <c r="J17" i="333"/>
  <c r="K17" i="333"/>
  <c r="L17" i="333"/>
  <c r="M17" i="333"/>
  <c r="N17" i="333"/>
  <c r="O17" i="333"/>
  <c r="F18" i="333"/>
  <c r="G18" i="333"/>
  <c r="H18" i="333"/>
  <c r="I18" i="333"/>
  <c r="J18" i="333"/>
  <c r="K18" i="333"/>
  <c r="L18" i="333"/>
  <c r="M18" i="333"/>
  <c r="N18" i="333"/>
  <c r="O18" i="333"/>
  <c r="F19" i="333"/>
  <c r="G19" i="333"/>
  <c r="H19" i="333"/>
  <c r="I19" i="333"/>
  <c r="J19" i="333"/>
  <c r="K19" i="333"/>
  <c r="L19" i="333"/>
  <c r="M19" i="333"/>
  <c r="N19" i="333"/>
  <c r="O19" i="333"/>
  <c r="F20" i="333"/>
  <c r="G20" i="333"/>
  <c r="H20" i="333"/>
  <c r="I20" i="333"/>
  <c r="J20" i="333"/>
  <c r="K20" i="333"/>
  <c r="L20" i="333"/>
  <c r="M20" i="333"/>
  <c r="N20" i="333"/>
  <c r="O20" i="333"/>
  <c r="F21" i="333"/>
  <c r="G21" i="333"/>
  <c r="H21" i="333"/>
  <c r="I21" i="333"/>
  <c r="J21" i="333"/>
  <c r="K21" i="333"/>
  <c r="L21" i="333"/>
  <c r="M21" i="333"/>
  <c r="N21" i="333"/>
  <c r="O21" i="333"/>
  <c r="F22" i="333"/>
  <c r="G22" i="333"/>
  <c r="H22" i="333"/>
  <c r="I22" i="333"/>
  <c r="J22" i="333"/>
  <c r="K22" i="333"/>
  <c r="L22" i="333"/>
  <c r="M22" i="333"/>
  <c r="N22" i="333"/>
  <c r="O22" i="333"/>
  <c r="F23" i="333"/>
  <c r="G23" i="333"/>
  <c r="H23" i="333"/>
  <c r="I23" i="333"/>
  <c r="J23" i="333"/>
  <c r="K23" i="333"/>
  <c r="L23" i="333"/>
  <c r="M23" i="333"/>
  <c r="N23" i="333"/>
  <c r="O23" i="333"/>
  <c r="F24" i="333"/>
  <c r="G24" i="333"/>
  <c r="H24" i="333"/>
  <c r="I24" i="333"/>
  <c r="J24" i="333"/>
  <c r="K24" i="333"/>
  <c r="L24" i="333"/>
  <c r="M24" i="333"/>
  <c r="N24" i="333"/>
  <c r="O24" i="333"/>
  <c r="E24" i="333"/>
  <c r="E23" i="333"/>
  <c r="E22" i="333"/>
  <c r="E21" i="333"/>
  <c r="E20" i="333"/>
  <c r="E19" i="333"/>
  <c r="E18" i="333"/>
  <c r="E17" i="333"/>
  <c r="E16" i="333"/>
  <c r="E15" i="333"/>
  <c r="E14" i="333"/>
  <c r="E13" i="333"/>
  <c r="E12" i="333"/>
  <c r="E11" i="333"/>
  <c r="E10" i="333"/>
  <c r="E9" i="333"/>
  <c r="E7" i="333"/>
  <c r="E6" i="333"/>
  <c r="E5" i="333"/>
  <c r="E3" i="333"/>
  <c r="K35" i="200"/>
  <c r="J35" i="200"/>
  <c r="I35" i="200"/>
  <c r="H35" i="200"/>
  <c r="G44" i="279" s="1"/>
  <c r="G35" i="200"/>
  <c r="F35" i="200"/>
  <c r="K26" i="200"/>
  <c r="J26" i="200"/>
  <c r="I43" i="279" s="1"/>
  <c r="I26" i="200"/>
  <c r="H26" i="200"/>
  <c r="G26" i="200"/>
  <c r="F26" i="200"/>
  <c r="F37" i="200" s="1"/>
  <c r="K16" i="200"/>
  <c r="K37" i="200" s="1"/>
  <c r="J16" i="200"/>
  <c r="I16" i="200"/>
  <c r="H16" i="200"/>
  <c r="G42" i="279" s="1"/>
  <c r="G16" i="200"/>
  <c r="F16" i="200"/>
  <c r="J29" i="279"/>
  <c r="J30" i="279"/>
  <c r="J31" i="279"/>
  <c r="I29" i="279"/>
  <c r="I30" i="279"/>
  <c r="I31" i="279"/>
  <c r="H29" i="279"/>
  <c r="H30" i="279"/>
  <c r="H31" i="279"/>
  <c r="G29" i="279"/>
  <c r="G30" i="279"/>
  <c r="G31" i="279"/>
  <c r="F29" i="279"/>
  <c r="F30" i="279"/>
  <c r="F31" i="279"/>
  <c r="E29" i="279"/>
  <c r="E30" i="279"/>
  <c r="E31" i="279"/>
  <c r="D29" i="279"/>
  <c r="D30" i="279"/>
  <c r="D31" i="279"/>
  <c r="C29" i="279"/>
  <c r="C30" i="279"/>
  <c r="C31" i="279"/>
  <c r="B31" i="279"/>
  <c r="B29" i="279"/>
  <c r="B30" i="279"/>
  <c r="J23" i="279"/>
  <c r="I23" i="279"/>
  <c r="H23" i="279"/>
  <c r="G23" i="279"/>
  <c r="F23" i="279"/>
  <c r="E23" i="279"/>
  <c r="D23" i="279"/>
  <c r="C23" i="279"/>
  <c r="B21" i="279"/>
  <c r="B11" i="279"/>
  <c r="B12" i="279"/>
  <c r="B14" i="279"/>
  <c r="B15" i="279"/>
  <c r="B16" i="279"/>
  <c r="B20" i="279"/>
  <c r="B23" i="279"/>
  <c r="H2" i="279"/>
  <c r="G3" i="279"/>
  <c r="F3" i="279"/>
  <c r="E3" i="279"/>
  <c r="D3" i="279"/>
  <c r="C3" i="279"/>
  <c r="B3" i="279"/>
  <c r="A2" i="279"/>
  <c r="K38" i="202"/>
  <c r="J28" i="279" s="1"/>
  <c r="J38" i="202"/>
  <c r="I28" i="279" s="1"/>
  <c r="I38" i="202"/>
  <c r="H28" i="279" s="1"/>
  <c r="H38" i="202"/>
  <c r="G28" i="279" s="1"/>
  <c r="G38" i="202"/>
  <c r="F28" i="279" s="1"/>
  <c r="F38" i="202"/>
  <c r="E28" i="279" s="1"/>
  <c r="E38" i="202"/>
  <c r="D28" i="279" s="1"/>
  <c r="D38" i="202"/>
  <c r="C28" i="279" s="1"/>
  <c r="C38" i="202"/>
  <c r="B28" i="279" s="1"/>
  <c r="C37" i="65"/>
  <c r="C12" i="201"/>
  <c r="B35" i="279" s="1"/>
  <c r="C22" i="201"/>
  <c r="B36" i="279" s="1"/>
  <c r="C32" i="201"/>
  <c r="B37" i="279" s="1"/>
  <c r="C37" i="201"/>
  <c r="B38" i="279" s="1"/>
  <c r="B39" i="279"/>
  <c r="D12" i="201"/>
  <c r="C35" i="279" s="1"/>
  <c r="E12" i="201"/>
  <c r="D35" i="279" s="1"/>
  <c r="F12" i="201"/>
  <c r="E35" i="279" s="1"/>
  <c r="G12" i="201"/>
  <c r="F35" i="279" s="1"/>
  <c r="H12" i="201"/>
  <c r="G35" i="279" s="1"/>
  <c r="I12" i="201"/>
  <c r="H35" i="279" s="1"/>
  <c r="J12" i="201"/>
  <c r="I35" i="279" s="1"/>
  <c r="K12" i="201"/>
  <c r="J35" i="279" s="1"/>
  <c r="D22" i="201"/>
  <c r="C36" i="279" s="1"/>
  <c r="E22" i="201"/>
  <c r="D36" i="279" s="1"/>
  <c r="F22" i="201"/>
  <c r="E36" i="279" s="1"/>
  <c r="G22" i="201"/>
  <c r="F36" i="279" s="1"/>
  <c r="H22" i="201"/>
  <c r="G36" i="279" s="1"/>
  <c r="J22" i="201"/>
  <c r="I36" i="279" s="1"/>
  <c r="D32" i="201"/>
  <c r="C37" i="279" s="1"/>
  <c r="E32" i="201"/>
  <c r="D37" i="279" s="1"/>
  <c r="F32" i="201"/>
  <c r="E37" i="279" s="1"/>
  <c r="G32" i="201"/>
  <c r="F37" i="279" s="1"/>
  <c r="H32" i="201"/>
  <c r="G37" i="279" s="1"/>
  <c r="I32" i="201"/>
  <c r="H37" i="279" s="1"/>
  <c r="J32" i="201"/>
  <c r="I37" i="279" s="1"/>
  <c r="K32" i="201"/>
  <c r="J37" i="279" s="1"/>
  <c r="D37" i="201"/>
  <c r="C38" i="279" s="1"/>
  <c r="E37" i="201"/>
  <c r="D38" i="279" s="1"/>
  <c r="F37" i="201"/>
  <c r="E38" i="279" s="1"/>
  <c r="G37" i="201"/>
  <c r="F38" i="279" s="1"/>
  <c r="H37" i="201"/>
  <c r="G38" i="279" s="1"/>
  <c r="I37" i="201"/>
  <c r="H38" i="279" s="1"/>
  <c r="J37" i="201"/>
  <c r="I38" i="279" s="1"/>
  <c r="K37" i="201"/>
  <c r="J38" i="279" s="1"/>
  <c r="D46" i="201"/>
  <c r="C39" i="279" s="1"/>
  <c r="E46" i="201"/>
  <c r="D39" i="279" s="1"/>
  <c r="F46" i="201"/>
  <c r="E39" i="279" s="1"/>
  <c r="G46" i="201"/>
  <c r="F39" i="279" s="1"/>
  <c r="H46" i="201"/>
  <c r="G39" i="279" s="1"/>
  <c r="I46" i="201"/>
  <c r="H39" i="279" s="1"/>
  <c r="J46" i="201"/>
  <c r="I39" i="279" s="1"/>
  <c r="K46" i="201"/>
  <c r="J39" i="279" s="1"/>
  <c r="B44" i="279"/>
  <c r="I37" i="200"/>
  <c r="G37" i="200"/>
  <c r="B43" i="279"/>
  <c r="J44" i="279"/>
  <c r="I44" i="279"/>
  <c r="H44" i="279"/>
  <c r="F44" i="279"/>
  <c r="E44" i="279"/>
  <c r="D44" i="279"/>
  <c r="C43" i="279"/>
  <c r="D43" i="279"/>
  <c r="F43" i="279"/>
  <c r="G43" i="279"/>
  <c r="H43" i="279"/>
  <c r="J43" i="279"/>
  <c r="J42" i="279"/>
  <c r="H42" i="279"/>
  <c r="F42" i="279"/>
  <c r="E42" i="279"/>
  <c r="D42" i="279"/>
  <c r="C42" i="279"/>
  <c r="B42" i="279"/>
  <c r="J39" i="65"/>
  <c r="J43" i="65" s="1"/>
  <c r="J45" i="65" s="1"/>
  <c r="G39" i="65"/>
  <c r="G43" i="65" s="1"/>
  <c r="G45" i="65" s="1"/>
  <c r="C39" i="65"/>
  <c r="C43" i="65" s="1"/>
  <c r="C45" i="65" s="1"/>
  <c r="I2" i="65"/>
  <c r="B2" i="65"/>
  <c r="A2" i="65"/>
  <c r="H3" i="65"/>
  <c r="G3" i="65"/>
  <c r="F3" i="65"/>
  <c r="E3" i="65"/>
  <c r="D3" i="65"/>
  <c r="C3" i="65"/>
  <c r="L22" i="65"/>
  <c r="M22" i="65"/>
  <c r="N22" i="65"/>
  <c r="O22" i="65"/>
  <c r="P22" i="65"/>
  <c r="Q22" i="65"/>
  <c r="R22" i="65"/>
  <c r="S22" i="65"/>
  <c r="T22" i="65"/>
  <c r="U22" i="65"/>
  <c r="V22" i="65"/>
  <c r="W22" i="65"/>
  <c r="I2" i="202"/>
  <c r="H3" i="202"/>
  <c r="G3" i="202"/>
  <c r="F3" i="202"/>
  <c r="E3" i="202"/>
  <c r="D3" i="202"/>
  <c r="C3" i="202"/>
  <c r="A2" i="202"/>
  <c r="B2" i="202"/>
  <c r="D42" i="202"/>
  <c r="E42" i="202"/>
  <c r="F42" i="202"/>
  <c r="H42" i="202"/>
  <c r="I42" i="202"/>
  <c r="J42" i="202"/>
  <c r="C23" i="201"/>
  <c r="I2" i="201"/>
  <c r="A2" i="201"/>
  <c r="H3" i="201"/>
  <c r="G3" i="201"/>
  <c r="F3" i="201"/>
  <c r="E3" i="201"/>
  <c r="D3" i="201"/>
  <c r="C3" i="201"/>
  <c r="B2" i="201"/>
  <c r="D23" i="201"/>
  <c r="E40" i="198" s="1"/>
  <c r="F23" i="201"/>
  <c r="G23" i="201"/>
  <c r="H23" i="201"/>
  <c r="I40" i="198" s="1"/>
  <c r="D38" i="201"/>
  <c r="E38" i="201"/>
  <c r="F38" i="201"/>
  <c r="F40" i="201" s="1"/>
  <c r="F51" i="201" s="1"/>
  <c r="H38" i="201"/>
  <c r="I38" i="201"/>
  <c r="J38" i="201"/>
  <c r="I2" i="200"/>
  <c r="H3" i="200"/>
  <c r="G3" i="200"/>
  <c r="F3" i="200"/>
  <c r="E3" i="200"/>
  <c r="D3" i="200"/>
  <c r="C3" i="200"/>
  <c r="B2" i="200"/>
  <c r="A2" i="200"/>
  <c r="A22" i="333"/>
  <c r="A21" i="333"/>
  <c r="A20" i="333"/>
  <c r="A19" i="333"/>
  <c r="A18" i="333"/>
  <c r="A17" i="333"/>
  <c r="A16" i="333"/>
  <c r="A15" i="333"/>
  <c r="A14" i="333"/>
  <c r="A13" i="333"/>
  <c r="A12" i="333"/>
  <c r="A11" i="333"/>
  <c r="A10" i="333"/>
  <c r="A9" i="333"/>
  <c r="A8" i="333"/>
  <c r="A7" i="333"/>
  <c r="A6" i="333"/>
  <c r="A5" i="333"/>
  <c r="A4" i="333"/>
  <c r="A3" i="333"/>
  <c r="A2" i="333"/>
  <c r="I2" i="199"/>
  <c r="H3" i="199"/>
  <c r="G3" i="199"/>
  <c r="F3" i="199"/>
  <c r="E3" i="199"/>
  <c r="D3" i="199"/>
  <c r="C3" i="199"/>
  <c r="O18" i="283"/>
  <c r="O21" i="283" s="1"/>
  <c r="O19" i="283"/>
  <c r="O20" i="283"/>
  <c r="N21" i="283"/>
  <c r="M21" i="283"/>
  <c r="L21" i="283"/>
  <c r="K21" i="283"/>
  <c r="K23" i="283" s="1"/>
  <c r="J21" i="283"/>
  <c r="I21" i="283"/>
  <c r="H21" i="283"/>
  <c r="G21" i="283"/>
  <c r="F21" i="283"/>
  <c r="E21" i="283"/>
  <c r="D21" i="283"/>
  <c r="C21" i="283"/>
  <c r="O12" i="283"/>
  <c r="O13" i="283"/>
  <c r="O14" i="283"/>
  <c r="N15" i="283"/>
  <c r="N23" i="283" s="1"/>
  <c r="M15" i="283"/>
  <c r="L15" i="283"/>
  <c r="L23" i="283" s="1"/>
  <c r="K15" i="283"/>
  <c r="J15" i="283"/>
  <c r="J23" i="283" s="1"/>
  <c r="I15" i="283"/>
  <c r="H15" i="283"/>
  <c r="H23" i="283" s="1"/>
  <c r="G15" i="283"/>
  <c r="F15" i="283"/>
  <c r="F23" i="283" s="1"/>
  <c r="E15" i="283"/>
  <c r="D15" i="283"/>
  <c r="D23" i="283" s="1"/>
  <c r="C15" i="283"/>
  <c r="O6" i="283"/>
  <c r="O7" i="283"/>
  <c r="O8" i="283"/>
  <c r="N9" i="283"/>
  <c r="M9" i="283"/>
  <c r="L9" i="283"/>
  <c r="K9" i="283"/>
  <c r="J9" i="283"/>
  <c r="I9" i="283"/>
  <c r="H9" i="283"/>
  <c r="G9" i="283"/>
  <c r="F9" i="283"/>
  <c r="E9" i="283"/>
  <c r="D9" i="283"/>
  <c r="C9" i="283"/>
  <c r="E2" i="283"/>
  <c r="I3" i="283"/>
  <c r="J3" i="283" s="1"/>
  <c r="K3" i="283" s="1"/>
  <c r="L3" i="283" s="1"/>
  <c r="M3" i="283" s="1"/>
  <c r="N3" i="283" s="1"/>
  <c r="O3" i="283" s="1"/>
  <c r="D3" i="283"/>
  <c r="A1" i="283"/>
  <c r="B2" i="283"/>
  <c r="A2" i="283"/>
  <c r="A24" i="283"/>
  <c r="F24" i="282"/>
  <c r="B2" i="282"/>
  <c r="A25" i="282"/>
  <c r="L65" i="198"/>
  <c r="E67" i="198"/>
  <c r="F67" i="198" s="1"/>
  <c r="K65" i="198"/>
  <c r="J65" i="198"/>
  <c r="I65" i="198"/>
  <c r="H65" i="198"/>
  <c r="G65" i="198"/>
  <c r="F65" i="198"/>
  <c r="E65" i="198"/>
  <c r="L63" i="198"/>
  <c r="L64" i="198"/>
  <c r="K63" i="198"/>
  <c r="K64" i="198"/>
  <c r="J63" i="198"/>
  <c r="J64" i="198"/>
  <c r="I63" i="198"/>
  <c r="I64" i="198"/>
  <c r="H63" i="198"/>
  <c r="H64" i="198"/>
  <c r="G63" i="198"/>
  <c r="G64" i="198"/>
  <c r="E63" i="198"/>
  <c r="E64" i="198"/>
  <c r="L62" i="198"/>
  <c r="K62" i="198"/>
  <c r="J62" i="198"/>
  <c r="I62" i="198"/>
  <c r="H62" i="198"/>
  <c r="G62" i="198"/>
  <c r="F62" i="198"/>
  <c r="E62" i="198"/>
  <c r="L41" i="198"/>
  <c r="L42" i="198"/>
  <c r="K41" i="198"/>
  <c r="K42" i="198"/>
  <c r="J41" i="198"/>
  <c r="J42" i="198"/>
  <c r="I41" i="198"/>
  <c r="I42" i="198"/>
  <c r="H41" i="198"/>
  <c r="H42" i="198"/>
  <c r="G41" i="198"/>
  <c r="G42" i="198"/>
  <c r="F41" i="198"/>
  <c r="F42" i="198"/>
  <c r="E41" i="198"/>
  <c r="E42" i="198"/>
  <c r="L60" i="198"/>
  <c r="K60" i="198"/>
  <c r="J60" i="198"/>
  <c r="I60" i="198"/>
  <c r="H60" i="198"/>
  <c r="G60" i="198"/>
  <c r="F60" i="198"/>
  <c r="E60" i="198"/>
  <c r="L59" i="198"/>
  <c r="K59" i="198"/>
  <c r="J59" i="198"/>
  <c r="I59" i="198"/>
  <c r="H59" i="198"/>
  <c r="G59" i="198"/>
  <c r="F59" i="198"/>
  <c r="E59" i="198"/>
  <c r="D65" i="198"/>
  <c r="D66" i="198"/>
  <c r="D63" i="198"/>
  <c r="D64" i="198"/>
  <c r="D62" i="198"/>
  <c r="D60" i="198"/>
  <c r="D59" i="198"/>
  <c r="L57" i="198"/>
  <c r="K57" i="198"/>
  <c r="J57" i="198"/>
  <c r="I57" i="198"/>
  <c r="H57" i="198"/>
  <c r="G57" i="198"/>
  <c r="F57" i="198"/>
  <c r="E57" i="198"/>
  <c r="D57" i="198"/>
  <c r="L56" i="198"/>
  <c r="L55" i="198"/>
  <c r="K56" i="198"/>
  <c r="K55" i="198"/>
  <c r="J56" i="198"/>
  <c r="J55" i="198"/>
  <c r="I56" i="198"/>
  <c r="I55" i="198"/>
  <c r="H56" i="198"/>
  <c r="H55" i="198"/>
  <c r="G56" i="198"/>
  <c r="G55" i="198"/>
  <c r="F56" i="198"/>
  <c r="F55" i="198"/>
  <c r="E56" i="198"/>
  <c r="E55" i="198"/>
  <c r="L54" i="198"/>
  <c r="L52" i="198"/>
  <c r="K54" i="198"/>
  <c r="K52" i="198"/>
  <c r="J54" i="198"/>
  <c r="J52" i="198"/>
  <c r="I54" i="198"/>
  <c r="I52" i="198"/>
  <c r="H54" i="198"/>
  <c r="H52" i="198"/>
  <c r="G54" i="198"/>
  <c r="G52" i="198"/>
  <c r="F54" i="198"/>
  <c r="F52" i="198"/>
  <c r="E54" i="198"/>
  <c r="E52" i="198"/>
  <c r="D54" i="198"/>
  <c r="D52" i="198"/>
  <c r="L51" i="198"/>
  <c r="K51" i="198"/>
  <c r="I51" i="198"/>
  <c r="H51" i="198"/>
  <c r="G51" i="198"/>
  <c r="G13" i="198" s="1"/>
  <c r="E51" i="198"/>
  <c r="D51" i="198"/>
  <c r="L50" i="198"/>
  <c r="K50" i="198"/>
  <c r="K49" i="198"/>
  <c r="J50" i="198"/>
  <c r="J49" i="198"/>
  <c r="I50" i="198"/>
  <c r="I49" i="198"/>
  <c r="H50" i="198"/>
  <c r="G50" i="198"/>
  <c r="G49" i="198"/>
  <c r="F50" i="198"/>
  <c r="F49" i="198"/>
  <c r="E50" i="198"/>
  <c r="E49" i="198"/>
  <c r="D50" i="198"/>
  <c r="D49" i="198"/>
  <c r="L48" i="198"/>
  <c r="K48" i="198"/>
  <c r="J48" i="198"/>
  <c r="I48" i="198"/>
  <c r="H48" i="198"/>
  <c r="G48" i="198"/>
  <c r="G10" i="198" s="1"/>
  <c r="F48" i="198"/>
  <c r="E48" i="198"/>
  <c r="D48" i="198"/>
  <c r="L47" i="198"/>
  <c r="L44" i="198"/>
  <c r="K46" i="198"/>
  <c r="K47" i="198"/>
  <c r="K44" i="198"/>
  <c r="J46" i="198"/>
  <c r="J47" i="198"/>
  <c r="J44" i="198"/>
  <c r="I46" i="198"/>
  <c r="I47" i="198"/>
  <c r="I44" i="198"/>
  <c r="H47" i="198"/>
  <c r="H44" i="198"/>
  <c r="G46" i="198"/>
  <c r="G47" i="198"/>
  <c r="G44" i="198"/>
  <c r="F46" i="198"/>
  <c r="F47" i="198"/>
  <c r="F44" i="198"/>
  <c r="E46" i="198"/>
  <c r="E47" i="198"/>
  <c r="E44" i="198"/>
  <c r="D47" i="198"/>
  <c r="D44" i="198"/>
  <c r="L43" i="198"/>
  <c r="K43" i="198"/>
  <c r="J43" i="198"/>
  <c r="I43" i="198"/>
  <c r="H43" i="198"/>
  <c r="G43" i="198"/>
  <c r="F43" i="198"/>
  <c r="E43" i="198"/>
  <c r="D43" i="198"/>
  <c r="L39" i="198"/>
  <c r="K39" i="198"/>
  <c r="J39" i="198"/>
  <c r="I39" i="198"/>
  <c r="H39" i="198"/>
  <c r="H40" i="198"/>
  <c r="G39" i="198"/>
  <c r="G40" i="198"/>
  <c r="F39" i="198"/>
  <c r="E39" i="198"/>
  <c r="D39" i="198"/>
  <c r="D40" i="198"/>
  <c r="A59" i="198"/>
  <c r="A58" i="198"/>
  <c r="A52" i="198"/>
  <c r="A51" i="198"/>
  <c r="A50" i="198"/>
  <c r="A49" i="198"/>
  <c r="A47" i="198"/>
  <c r="A46" i="198"/>
  <c r="A45" i="198"/>
  <c r="A44" i="198"/>
  <c r="A43" i="198"/>
  <c r="A42" i="198"/>
  <c r="A41" i="198"/>
  <c r="A40" i="198"/>
  <c r="A39" i="198"/>
  <c r="J2" i="198"/>
  <c r="C2" i="198"/>
  <c r="I3" i="198"/>
  <c r="H3" i="198"/>
  <c r="G3" i="198"/>
  <c r="F3" i="198"/>
  <c r="E3" i="198"/>
  <c r="D3" i="198"/>
  <c r="H24" i="243"/>
  <c r="G24" i="243"/>
  <c r="F24" i="243"/>
  <c r="B2" i="243"/>
  <c r="A25" i="243"/>
  <c r="A49" i="285"/>
  <c r="A43" i="285"/>
  <c r="A29" i="285"/>
  <c r="I2" i="285"/>
  <c r="K44" i="285"/>
  <c r="J44" i="285"/>
  <c r="I44" i="285"/>
  <c r="H44" i="285"/>
  <c r="G44" i="285"/>
  <c r="G45" i="285" s="1"/>
  <c r="F44" i="285"/>
  <c r="F45" i="285" s="1"/>
  <c r="E44" i="285"/>
  <c r="E45" i="285" s="1"/>
  <c r="D44" i="285"/>
  <c r="D45" i="285" s="1"/>
  <c r="K30" i="285"/>
  <c r="J30" i="285"/>
  <c r="I30" i="285"/>
  <c r="H30" i="285"/>
  <c r="G30" i="285"/>
  <c r="F30" i="285"/>
  <c r="E30" i="285"/>
  <c r="D30" i="285"/>
  <c r="K17" i="285"/>
  <c r="K47" i="285" s="1"/>
  <c r="J17" i="285"/>
  <c r="I17" i="285"/>
  <c r="H17" i="285"/>
  <c r="G17" i="285"/>
  <c r="G47" i="285" s="1"/>
  <c r="F17" i="285"/>
  <c r="E17" i="285"/>
  <c r="D17" i="285"/>
  <c r="C44" i="285"/>
  <c r="C30" i="285"/>
  <c r="C17" i="285"/>
  <c r="H3" i="285"/>
  <c r="G3" i="285"/>
  <c r="F3" i="285"/>
  <c r="E3" i="285"/>
  <c r="D3" i="285"/>
  <c r="C3" i="285"/>
  <c r="B2" i="285"/>
  <c r="A43" i="336"/>
  <c r="K36" i="336"/>
  <c r="J36" i="336"/>
  <c r="J37" i="336" s="1"/>
  <c r="I36" i="336"/>
  <c r="H36" i="336"/>
  <c r="E36" i="336"/>
  <c r="G36" i="336"/>
  <c r="F36" i="336"/>
  <c r="F37" i="336" s="1"/>
  <c r="D36" i="336"/>
  <c r="D37" i="336" s="1"/>
  <c r="K20" i="336"/>
  <c r="J20" i="336"/>
  <c r="I20" i="336"/>
  <c r="H20" i="336"/>
  <c r="G20" i="336"/>
  <c r="F20" i="336"/>
  <c r="E20" i="336"/>
  <c r="D20" i="336"/>
  <c r="C20" i="336"/>
  <c r="K10" i="336"/>
  <c r="J10" i="336"/>
  <c r="I10" i="336"/>
  <c r="H10" i="336"/>
  <c r="G10" i="336"/>
  <c r="F10" i="336"/>
  <c r="E10" i="336"/>
  <c r="D10" i="336"/>
  <c r="B2" i="336"/>
  <c r="Q48" i="204"/>
  <c r="P48" i="204"/>
  <c r="Q47" i="204"/>
  <c r="P47" i="204"/>
  <c r="Q46" i="204"/>
  <c r="P46" i="204"/>
  <c r="Q43" i="204"/>
  <c r="P43" i="204"/>
  <c r="Q42" i="204"/>
  <c r="P42" i="204"/>
  <c r="Q41" i="204"/>
  <c r="P41" i="204"/>
  <c r="Q40" i="204"/>
  <c r="P40" i="204"/>
  <c r="Q37" i="204"/>
  <c r="P37" i="204"/>
  <c r="Q36" i="204"/>
  <c r="P36" i="204"/>
  <c r="Q35" i="204"/>
  <c r="P35" i="204"/>
  <c r="Q34" i="204"/>
  <c r="P34" i="204"/>
  <c r="Q33" i="204"/>
  <c r="P33" i="204"/>
  <c r="Q32" i="204"/>
  <c r="P32" i="204"/>
  <c r="Q13" i="204"/>
  <c r="P13" i="204"/>
  <c r="O48" i="204"/>
  <c r="M48" i="204" s="1"/>
  <c r="O46" i="204"/>
  <c r="M46" i="204" s="1"/>
  <c r="O47" i="204"/>
  <c r="O43" i="204"/>
  <c r="M43" i="204" s="1"/>
  <c r="O42" i="204"/>
  <c r="M42" i="204" s="1"/>
  <c r="O41" i="204"/>
  <c r="M41" i="204" s="1"/>
  <c r="O40" i="204"/>
  <c r="O37" i="204"/>
  <c r="M37" i="204" s="1"/>
  <c r="O36" i="204"/>
  <c r="M36" i="204" s="1"/>
  <c r="O35" i="204"/>
  <c r="M35" i="204" s="1"/>
  <c r="O34" i="204"/>
  <c r="M34" i="204" s="1"/>
  <c r="O33" i="204"/>
  <c r="M33" i="204" s="1"/>
  <c r="O32" i="204"/>
  <c r="Q9" i="204"/>
  <c r="P9" i="204"/>
  <c r="Q8" i="204"/>
  <c r="P8" i="204"/>
  <c r="Q7" i="204"/>
  <c r="P7" i="204"/>
  <c r="Q6" i="204"/>
  <c r="P6" i="204"/>
  <c r="O8" i="204"/>
  <c r="M8" i="204" s="1"/>
  <c r="N8" i="204" s="1"/>
  <c r="O9" i="204"/>
  <c r="M9" i="204" s="1"/>
  <c r="N9" i="204" s="1"/>
  <c r="O7" i="204"/>
  <c r="M7" i="204" s="1"/>
  <c r="N7" i="204" s="1"/>
  <c r="O6" i="204"/>
  <c r="M6" i="204" s="1"/>
  <c r="A1" i="204"/>
  <c r="O2" i="204"/>
  <c r="A2" i="204"/>
  <c r="C10" i="204"/>
  <c r="D10" i="204"/>
  <c r="E10" i="204"/>
  <c r="F10" i="204"/>
  <c r="G10" i="204"/>
  <c r="H10" i="204"/>
  <c r="I10" i="204"/>
  <c r="J10" i="204"/>
  <c r="K10" i="204"/>
  <c r="L10" i="204"/>
  <c r="C25" i="204"/>
  <c r="D25" i="204"/>
  <c r="E25" i="204"/>
  <c r="F25" i="204"/>
  <c r="G25" i="204"/>
  <c r="H25" i="204"/>
  <c r="I25" i="204"/>
  <c r="J25" i="204"/>
  <c r="K25" i="204"/>
  <c r="L25" i="204"/>
  <c r="C29" i="204"/>
  <c r="D29" i="204"/>
  <c r="E29" i="204"/>
  <c r="F29" i="204"/>
  <c r="G29" i="204"/>
  <c r="H29" i="204"/>
  <c r="I29" i="204"/>
  <c r="J29" i="204"/>
  <c r="K29" i="204"/>
  <c r="L29" i="204"/>
  <c r="N29" i="204"/>
  <c r="C38" i="204"/>
  <c r="D38" i="204"/>
  <c r="E38" i="204"/>
  <c r="F38" i="204"/>
  <c r="G38" i="204"/>
  <c r="H38" i="204"/>
  <c r="I38" i="204"/>
  <c r="J38" i="204"/>
  <c r="K38" i="204"/>
  <c r="L38" i="204"/>
  <c r="C44" i="204"/>
  <c r="D44" i="204"/>
  <c r="D51" i="204" s="1"/>
  <c r="E44" i="204"/>
  <c r="F44" i="204"/>
  <c r="G44" i="204"/>
  <c r="H44" i="204"/>
  <c r="I44" i="204"/>
  <c r="J44" i="204"/>
  <c r="K44" i="204"/>
  <c r="L44" i="204"/>
  <c r="C49" i="204"/>
  <c r="C51" i="204" s="1"/>
  <c r="D49" i="204"/>
  <c r="E49" i="204"/>
  <c r="F49" i="204"/>
  <c r="G49" i="204"/>
  <c r="H49" i="204"/>
  <c r="I49" i="204"/>
  <c r="J49" i="204"/>
  <c r="K49" i="204"/>
  <c r="L49" i="204"/>
  <c r="K80" i="284"/>
  <c r="J80" i="284"/>
  <c r="I80" i="284"/>
  <c r="H80" i="284"/>
  <c r="G80" i="284"/>
  <c r="F80" i="284"/>
  <c r="E80" i="284"/>
  <c r="D80" i="284"/>
  <c r="C80" i="284"/>
  <c r="I2" i="284"/>
  <c r="H3" i="284"/>
  <c r="G3" i="284"/>
  <c r="F3" i="284"/>
  <c r="E3" i="284"/>
  <c r="D3" i="284"/>
  <c r="C3" i="284"/>
  <c r="B2" i="284"/>
  <c r="A2" i="284"/>
  <c r="A86" i="284"/>
  <c r="A86" i="335"/>
  <c r="K80" i="335"/>
  <c r="J80" i="335"/>
  <c r="I80" i="335"/>
  <c r="H80" i="335"/>
  <c r="G80" i="335"/>
  <c r="F80" i="335"/>
  <c r="E80" i="335"/>
  <c r="D80" i="335"/>
  <c r="C80" i="335"/>
  <c r="H3" i="335"/>
  <c r="G3" i="335"/>
  <c r="F3" i="335"/>
  <c r="E3" i="335"/>
  <c r="D3" i="335"/>
  <c r="C3" i="335"/>
  <c r="I2" i="335"/>
  <c r="B2" i="335"/>
  <c r="A2" i="335"/>
  <c r="K8" i="334"/>
  <c r="K11" i="334"/>
  <c r="K15" i="334"/>
  <c r="K19" i="334"/>
  <c r="K22" i="334"/>
  <c r="K28" i="334"/>
  <c r="K44" i="334"/>
  <c r="K48" i="334"/>
  <c r="K52" i="334"/>
  <c r="K66" i="334"/>
  <c r="K70" i="334"/>
  <c r="K74" i="334"/>
  <c r="J8" i="334"/>
  <c r="J11" i="334"/>
  <c r="J15" i="334"/>
  <c r="J19" i="334"/>
  <c r="J22" i="334"/>
  <c r="J28" i="334"/>
  <c r="J44" i="334"/>
  <c r="J48" i="334"/>
  <c r="J52" i="334"/>
  <c r="J66" i="334"/>
  <c r="J70" i="334"/>
  <c r="J74" i="334"/>
  <c r="I8" i="334"/>
  <c r="I11" i="334"/>
  <c r="I15" i="334"/>
  <c r="I19" i="334"/>
  <c r="I22" i="334"/>
  <c r="I28" i="334"/>
  <c r="I44" i="334"/>
  <c r="I48" i="334"/>
  <c r="I52" i="334"/>
  <c r="I66" i="334"/>
  <c r="I70" i="334"/>
  <c r="I74" i="334"/>
  <c r="H8" i="334"/>
  <c r="H11" i="334"/>
  <c r="H15" i="334"/>
  <c r="H19" i="334"/>
  <c r="H22" i="334"/>
  <c r="H28" i="334"/>
  <c r="H44" i="334"/>
  <c r="H48" i="334"/>
  <c r="H52" i="334"/>
  <c r="H66" i="334"/>
  <c r="H70" i="334"/>
  <c r="H74" i="334"/>
  <c r="G8" i="334"/>
  <c r="G11" i="334"/>
  <c r="G15" i="334"/>
  <c r="G19" i="334"/>
  <c r="G22" i="334"/>
  <c r="G28" i="334"/>
  <c r="G44" i="334"/>
  <c r="G48" i="334"/>
  <c r="G52" i="334"/>
  <c r="G66" i="334"/>
  <c r="G70" i="334"/>
  <c r="G74" i="334"/>
  <c r="F8" i="334"/>
  <c r="F11" i="334"/>
  <c r="F15" i="334"/>
  <c r="F19" i="334"/>
  <c r="F22" i="334"/>
  <c r="F28" i="334"/>
  <c r="F44" i="334"/>
  <c r="F48" i="334"/>
  <c r="F52" i="334"/>
  <c r="F66" i="334"/>
  <c r="F70" i="334"/>
  <c r="F74" i="334"/>
  <c r="E8" i="334"/>
  <c r="E11" i="334"/>
  <c r="E15" i="334"/>
  <c r="E19" i="334"/>
  <c r="E22" i="334"/>
  <c r="E28" i="334"/>
  <c r="E44" i="334"/>
  <c r="E48" i="334"/>
  <c r="E52" i="334"/>
  <c r="E66" i="334"/>
  <c r="E70" i="334"/>
  <c r="E74" i="334"/>
  <c r="D8" i="334"/>
  <c r="D11" i="334"/>
  <c r="D15" i="334"/>
  <c r="D19" i="334"/>
  <c r="D22" i="334"/>
  <c r="D28" i="334"/>
  <c r="D44" i="334"/>
  <c r="D48" i="334"/>
  <c r="D52" i="334"/>
  <c r="D66" i="334"/>
  <c r="D70" i="334"/>
  <c r="D74" i="334"/>
  <c r="C8" i="334"/>
  <c r="C11" i="334"/>
  <c r="C15" i="334"/>
  <c r="C19" i="334"/>
  <c r="C22" i="334"/>
  <c r="C28" i="334"/>
  <c r="C44" i="334"/>
  <c r="C48" i="334"/>
  <c r="C52" i="334"/>
  <c r="C66" i="334"/>
  <c r="C70" i="334"/>
  <c r="C74" i="334"/>
  <c r="K80" i="334"/>
  <c r="J80" i="334"/>
  <c r="I80" i="334"/>
  <c r="H80" i="334"/>
  <c r="G80" i="334"/>
  <c r="F80" i="334"/>
  <c r="E80" i="334"/>
  <c r="D80" i="334"/>
  <c r="C80" i="334"/>
  <c r="H3" i="334"/>
  <c r="G3" i="334"/>
  <c r="F3" i="334"/>
  <c r="E3" i="334"/>
  <c r="D3" i="334"/>
  <c r="C3" i="334"/>
  <c r="I2" i="334"/>
  <c r="B2" i="334"/>
  <c r="A2" i="334"/>
  <c r="I32" i="330"/>
  <c r="H32" i="330"/>
  <c r="G32" i="330"/>
  <c r="F32" i="330"/>
  <c r="E32" i="330"/>
  <c r="D32" i="330"/>
  <c r="I22" i="330"/>
  <c r="H22" i="330"/>
  <c r="G22" i="330"/>
  <c r="F22" i="330"/>
  <c r="E22" i="330"/>
  <c r="D22" i="330"/>
  <c r="C22" i="330"/>
  <c r="C2" i="330"/>
  <c r="A2" i="330"/>
  <c r="I3" i="330"/>
  <c r="B2" i="330"/>
  <c r="C12" i="330"/>
  <c r="C34" i="330" s="1"/>
  <c r="D12" i="330"/>
  <c r="D34" i="330" s="1"/>
  <c r="E12" i="330"/>
  <c r="E34" i="330" s="1"/>
  <c r="F12" i="330"/>
  <c r="F34" i="330" s="1"/>
  <c r="G12" i="330"/>
  <c r="G34" i="330" s="1"/>
  <c r="H12" i="330"/>
  <c r="H34" i="330" s="1"/>
  <c r="I12" i="330"/>
  <c r="I34" i="330" s="1"/>
  <c r="A35" i="330"/>
  <c r="M24" i="329"/>
  <c r="L24" i="329"/>
  <c r="K24" i="329"/>
  <c r="J24" i="329"/>
  <c r="I24" i="329"/>
  <c r="H24" i="329"/>
  <c r="I3" i="329"/>
  <c r="K2" i="329"/>
  <c r="B2" i="329"/>
  <c r="C24" i="329"/>
  <c r="N24" i="329"/>
  <c r="O24" i="329"/>
  <c r="A25" i="329"/>
  <c r="K51" i="204"/>
  <c r="I37" i="336"/>
  <c r="I47" i="285"/>
  <c r="E47" i="285"/>
  <c r="K13" i="198"/>
  <c r="G58" i="198"/>
  <c r="D58" i="198"/>
  <c r="H37" i="336" l="1"/>
  <c r="H45" i="285"/>
  <c r="H49" i="198"/>
  <c r="L49" i="198"/>
  <c r="L10" i="198" s="1"/>
  <c r="F51" i="198"/>
  <c r="J51" i="198"/>
  <c r="J13" i="198" s="1"/>
  <c r="K18" i="198"/>
  <c r="I58" i="198"/>
  <c r="I27" i="198" s="1"/>
  <c r="E23" i="283"/>
  <c r="K39" i="65"/>
  <c r="K43" i="65" s="1"/>
  <c r="K45" i="65" s="1"/>
  <c r="H37" i="200"/>
  <c r="B5" i="100"/>
  <c r="E2" i="279" s="1"/>
  <c r="B3" i="100"/>
  <c r="C2" i="279" s="1"/>
  <c r="E39" i="65"/>
  <c r="E43" i="65" s="1"/>
  <c r="E45" i="65" s="1"/>
  <c r="P10" i="204"/>
  <c r="H40" i="201"/>
  <c r="H51" i="201" s="1"/>
  <c r="D40" i="201"/>
  <c r="D51" i="201" s="1"/>
  <c r="J37" i="200"/>
  <c r="G7" i="284"/>
  <c r="G78" i="284" s="1"/>
  <c r="G89" i="284" s="1"/>
  <c r="I31" i="202"/>
  <c r="B27" i="100"/>
  <c r="B37" i="100"/>
  <c r="H7" i="334"/>
  <c r="H78" i="334" s="1"/>
  <c r="F18" i="285"/>
  <c r="F31" i="285"/>
  <c r="J47" i="285"/>
  <c r="D46" i="198"/>
  <c r="H46" i="198"/>
  <c r="L46" i="198"/>
  <c r="E29" i="198"/>
  <c r="E58" i="198"/>
  <c r="E61" i="198" s="1"/>
  <c r="J58" i="198"/>
  <c r="J61" i="198" s="1"/>
  <c r="C23" i="283"/>
  <c r="G23" i="283"/>
  <c r="K38" i="201"/>
  <c r="G38" i="201"/>
  <c r="G40" i="201" s="1"/>
  <c r="G51" i="201" s="1"/>
  <c r="C38" i="201"/>
  <c r="C40" i="201" s="1"/>
  <c r="C51" i="201" s="1"/>
  <c r="E23" i="201"/>
  <c r="F40" i="198" s="1"/>
  <c r="K42" i="202"/>
  <c r="G42" i="202"/>
  <c r="C42" i="202"/>
  <c r="E43" i="279"/>
  <c r="B51" i="204"/>
  <c r="L27" i="198"/>
  <c r="H28" i="198"/>
  <c r="L28" i="198"/>
  <c r="D29" i="198"/>
  <c r="D7" i="198"/>
  <c r="E14" i="198"/>
  <c r="G27" i="198"/>
  <c r="E10" i="279"/>
  <c r="F10" i="279"/>
  <c r="B10" i="279"/>
  <c r="G29" i="198"/>
  <c r="O38" i="204"/>
  <c r="P44" i="204"/>
  <c r="D10" i="198"/>
  <c r="G10" i="279"/>
  <c r="F18" i="198"/>
  <c r="Q25" i="204"/>
  <c r="C32" i="279"/>
  <c r="P25" i="204"/>
  <c r="F10" i="198"/>
  <c r="F14" i="198"/>
  <c r="J14" i="198"/>
  <c r="J23" i="201"/>
  <c r="K40" i="198" s="1"/>
  <c r="I22" i="201"/>
  <c r="J31" i="202"/>
  <c r="P28" i="204" s="1"/>
  <c r="P29" i="204" s="1"/>
  <c r="H27" i="279"/>
  <c r="J45" i="198"/>
  <c r="J8" i="198" s="1"/>
  <c r="O28" i="204"/>
  <c r="M28" i="204" s="1"/>
  <c r="M29" i="204" s="1"/>
  <c r="K23" i="201"/>
  <c r="I51" i="202"/>
  <c r="I42" i="279"/>
  <c r="B32" i="279"/>
  <c r="J32" i="279"/>
  <c r="G31" i="202"/>
  <c r="F27" i="279" s="1"/>
  <c r="E31" i="202"/>
  <c r="F45" i="198" s="1"/>
  <c r="F8" i="198" s="1"/>
  <c r="D2" i="283"/>
  <c r="I32" i="279"/>
  <c r="M32" i="204"/>
  <c r="M38" i="204" s="1"/>
  <c r="J11" i="198"/>
  <c r="Q10" i="204"/>
  <c r="Q38" i="204"/>
  <c r="Q44" i="204"/>
  <c r="Q49" i="204"/>
  <c r="K31" i="202"/>
  <c r="K51" i="202" s="1"/>
  <c r="H45" i="198"/>
  <c r="H8" i="198" s="1"/>
  <c r="L51" i="204"/>
  <c r="G37" i="336"/>
  <c r="K37" i="336"/>
  <c r="F47" i="285"/>
  <c r="C47" i="285"/>
  <c r="E18" i="285"/>
  <c r="G18" i="285"/>
  <c r="G31" i="285"/>
  <c r="I45" i="285"/>
  <c r="E7" i="198"/>
  <c r="G7" i="198"/>
  <c r="H18" i="198"/>
  <c r="J18" i="198"/>
  <c r="E27" i="198"/>
  <c r="K27" i="198"/>
  <c r="J32" i="198"/>
  <c r="M23" i="283"/>
  <c r="E32" i="279"/>
  <c r="G32" i="279"/>
  <c r="D37" i="200"/>
  <c r="H7" i="284"/>
  <c r="H78" i="284" s="1"/>
  <c r="F51" i="204"/>
  <c r="I23" i="283"/>
  <c r="C37" i="200"/>
  <c r="C39" i="200" s="1"/>
  <c r="E37" i="200"/>
  <c r="H31" i="202"/>
  <c r="H51" i="202" s="1"/>
  <c r="E7" i="284"/>
  <c r="E78" i="284" s="1"/>
  <c r="D15" i="198"/>
  <c r="L15" i="198"/>
  <c r="L17" i="198"/>
  <c r="J40" i="201"/>
  <c r="J51" i="201" s="1"/>
  <c r="C27" i="279"/>
  <c r="E45" i="198"/>
  <c r="D51" i="202"/>
  <c r="G27" i="279"/>
  <c r="I45" i="198"/>
  <c r="I8" i="198" s="1"/>
  <c r="C7" i="334"/>
  <c r="C78" i="334" s="1"/>
  <c r="D7" i="334"/>
  <c r="D78" i="334" s="1"/>
  <c r="E7" i="334"/>
  <c r="E78" i="334" s="1"/>
  <c r="F7" i="334"/>
  <c r="F78" i="334" s="1"/>
  <c r="G7" i="334"/>
  <c r="G78" i="334" s="1"/>
  <c r="I7" i="334"/>
  <c r="I78" i="334" s="1"/>
  <c r="J7" i="334"/>
  <c r="J78" i="334" s="1"/>
  <c r="K7" i="334"/>
  <c r="K78" i="334" s="1"/>
  <c r="J51" i="204"/>
  <c r="H51" i="204"/>
  <c r="C7" i="335"/>
  <c r="C78" i="335" s="1"/>
  <c r="C7" i="284"/>
  <c r="C78" i="284" s="1"/>
  <c r="C89" i="335" s="1"/>
  <c r="K7" i="335"/>
  <c r="K78" i="335" s="1"/>
  <c r="K7" i="284"/>
  <c r="H7" i="335"/>
  <c r="H78" i="335" s="1"/>
  <c r="F7" i="335"/>
  <c r="F78" i="335" s="1"/>
  <c r="F7" i="284"/>
  <c r="F78" i="284" s="1"/>
  <c r="D7" i="335"/>
  <c r="D78" i="335" s="1"/>
  <c r="D7" i="284"/>
  <c r="E51" i="204"/>
  <c r="I51" i="204"/>
  <c r="G51" i="204"/>
  <c r="O29" i="204"/>
  <c r="E37" i="336"/>
  <c r="D18" i="285"/>
  <c r="H18" i="285"/>
  <c r="H31" i="285"/>
  <c r="F6" i="198"/>
  <c r="G6" i="198"/>
  <c r="E10" i="198"/>
  <c r="H10" i="198"/>
  <c r="J10" i="198"/>
  <c r="D13" i="198"/>
  <c r="G14" i="198"/>
  <c r="I14" i="198"/>
  <c r="K14" i="198"/>
  <c r="D33" i="198"/>
  <c r="O9" i="283"/>
  <c r="O15" i="283"/>
  <c r="O23" i="283" s="1"/>
  <c r="F32" i="279"/>
  <c r="F39" i="65"/>
  <c r="F43" i="65" s="1"/>
  <c r="F45" i="65" s="1"/>
  <c r="J7" i="335"/>
  <c r="J78" i="335" s="1"/>
  <c r="J7" i="284"/>
  <c r="J78" i="284" s="1"/>
  <c r="I7" i="284"/>
  <c r="G7" i="335"/>
  <c r="G78" i="335" s="1"/>
  <c r="F31" i="202"/>
  <c r="G45" i="198" s="1"/>
  <c r="G8" i="198" s="1"/>
  <c r="E7" i="335"/>
  <c r="E78" i="335" s="1"/>
  <c r="C31" i="202"/>
  <c r="C51" i="202" s="1"/>
  <c r="K45" i="285"/>
  <c r="J45" i="285"/>
  <c r="D78" i="284"/>
  <c r="D89" i="335" s="1"/>
  <c r="D31" i="285"/>
  <c r="E31" i="285"/>
  <c r="I31" i="285"/>
  <c r="I18" i="285"/>
  <c r="K78" i="284"/>
  <c r="I78" i="284"/>
  <c r="I89" i="284" s="1"/>
  <c r="J18" i="285"/>
  <c r="K18" i="285"/>
  <c r="J31" i="285"/>
  <c r="K31" i="285"/>
  <c r="D11" i="198"/>
  <c r="E11" i="198"/>
  <c r="F15" i="198"/>
  <c r="G15" i="198"/>
  <c r="D18" i="198"/>
  <c r="J29" i="198"/>
  <c r="E31" i="198"/>
  <c r="H31" i="198"/>
  <c r="I28" i="198"/>
  <c r="J31" i="198"/>
  <c r="K28" i="198"/>
  <c r="L31" i="198"/>
  <c r="C10" i="279"/>
  <c r="I10" i="279"/>
  <c r="J10" i="279"/>
  <c r="F28" i="198"/>
  <c r="O10" i="204"/>
  <c r="O49" i="204"/>
  <c r="M49" i="204" s="1"/>
  <c r="N49" i="204" s="1"/>
  <c r="D6" i="198"/>
  <c r="E6" i="198"/>
  <c r="J7" i="198"/>
  <c r="K7" i="198"/>
  <c r="K10" i="198"/>
  <c r="F11" i="198"/>
  <c r="G11" i="198"/>
  <c r="L13" i="198"/>
  <c r="H15" i="198"/>
  <c r="I15" i="198"/>
  <c r="G17" i="198"/>
  <c r="K17" i="198"/>
  <c r="E18" i="198"/>
  <c r="L18" i="198"/>
  <c r="H27" i="198"/>
  <c r="K29" i="198"/>
  <c r="L29" i="198"/>
  <c r="E32" i="198"/>
  <c r="G32" i="198"/>
  <c r="L32" i="198"/>
  <c r="F2" i="202"/>
  <c r="G67" i="198"/>
  <c r="F66" i="198"/>
  <c r="D27" i="279"/>
  <c r="C44" i="200"/>
  <c r="D38" i="200"/>
  <c r="D39" i="200" s="1"/>
  <c r="B45" i="279"/>
  <c r="I89" i="335"/>
  <c r="F51" i="202"/>
  <c r="G28" i="198"/>
  <c r="G18" i="198"/>
  <c r="G61" i="198"/>
  <c r="G31" i="198" s="1"/>
  <c r="O44" i="204"/>
  <c r="M47" i="204"/>
  <c r="P38" i="204"/>
  <c r="P49" i="204"/>
  <c r="H47" i="285"/>
  <c r="D47" i="285"/>
  <c r="H6" i="198"/>
  <c r="I6" i="198"/>
  <c r="K6" i="198"/>
  <c r="E8" i="198"/>
  <c r="I10" i="198"/>
  <c r="H11" i="198"/>
  <c r="I11" i="198"/>
  <c r="K11" i="198"/>
  <c r="H13" i="198"/>
  <c r="H14" i="198"/>
  <c r="E15" i="198"/>
  <c r="J15" i="198"/>
  <c r="K15" i="198"/>
  <c r="E17" i="198"/>
  <c r="F17" i="198"/>
  <c r="H17" i="198"/>
  <c r="I17" i="198"/>
  <c r="J17" i="198"/>
  <c r="D32" i="198"/>
  <c r="J27" i="198"/>
  <c r="E28" i="198"/>
  <c r="H29" i="198"/>
  <c r="H32" i="198"/>
  <c r="I32" i="198"/>
  <c r="K32" i="198"/>
  <c r="E66" i="198"/>
  <c r="E33" i="198" s="1"/>
  <c r="F33" i="198"/>
  <c r="B17" i="279"/>
  <c r="B18" i="279" s="1"/>
  <c r="D32" i="279"/>
  <c r="H32" i="279"/>
  <c r="H17" i="279"/>
  <c r="H18" i="279" s="1"/>
  <c r="I17" i="279"/>
  <c r="I18" i="279" s="1"/>
  <c r="J17" i="279"/>
  <c r="J18" i="279" s="1"/>
  <c r="H10" i="279"/>
  <c r="O51" i="204"/>
  <c r="O52" i="204" s="1"/>
  <c r="F27" i="198"/>
  <c r="F29" i="198"/>
  <c r="I7" i="198"/>
  <c r="D17" i="279"/>
  <c r="D18" i="279" s="1"/>
  <c r="E17" i="279"/>
  <c r="E18" i="279" s="1"/>
  <c r="E19" i="279" s="1"/>
  <c r="E22" i="279" s="1"/>
  <c r="E24" i="279" s="1"/>
  <c r="F17" i="279"/>
  <c r="G17" i="279"/>
  <c r="G18" i="279" s="1"/>
  <c r="G19" i="279" s="1"/>
  <c r="G22" i="279" s="1"/>
  <c r="G24" i="279" s="1"/>
  <c r="D10" i="279"/>
  <c r="F32" i="198"/>
  <c r="B16" i="100"/>
  <c r="I3" i="285" s="1"/>
  <c r="O25" i="204"/>
  <c r="B26" i="100"/>
  <c r="B30" i="100"/>
  <c r="F2" i="334"/>
  <c r="F2" i="335"/>
  <c r="F2" i="284"/>
  <c r="F2" i="285"/>
  <c r="B20" i="100"/>
  <c r="I2" i="283" s="1"/>
  <c r="B25" i="100"/>
  <c r="N2" i="283" s="1"/>
  <c r="F2" i="200"/>
  <c r="B18" i="100"/>
  <c r="X36" i="338"/>
  <c r="B28" i="100"/>
  <c r="B38" i="100"/>
  <c r="F2" i="336"/>
  <c r="G2" i="198"/>
  <c r="B21" i="100"/>
  <c r="B24" i="100"/>
  <c r="M2" i="283" s="1"/>
  <c r="F2" i="201"/>
  <c r="D2" i="202"/>
  <c r="B17" i="100"/>
  <c r="B2" i="100"/>
  <c r="E2" i="201" s="1"/>
  <c r="B7" i="100"/>
  <c r="B51" i="100" s="1"/>
  <c r="B29" i="100"/>
  <c r="B6" i="100"/>
  <c r="I2" i="329" s="1"/>
  <c r="B19" i="100"/>
  <c r="B22" i="100"/>
  <c r="K2" i="283" s="1"/>
  <c r="B4" i="100"/>
  <c r="F18" i="279"/>
  <c r="F19" i="279" s="1"/>
  <c r="F22" i="279" s="1"/>
  <c r="F24" i="279" s="1"/>
  <c r="N6" i="204"/>
  <c r="N10" i="204" s="1"/>
  <c r="M10" i="204"/>
  <c r="D28" i="198"/>
  <c r="D2" i="334"/>
  <c r="D2" i="284"/>
  <c r="M40" i="204"/>
  <c r="M44" i="204" s="1"/>
  <c r="N44" i="204" s="1"/>
  <c r="F13" i="198"/>
  <c r="D14" i="198"/>
  <c r="L14" i="198"/>
  <c r="I29" i="198"/>
  <c r="K61" i="198"/>
  <c r="K31" i="198" s="1"/>
  <c r="F2" i="199"/>
  <c r="D2" i="199"/>
  <c r="F2" i="65"/>
  <c r="M13" i="204"/>
  <c r="D61" i="198"/>
  <c r="D31" i="198" s="1"/>
  <c r="D27" i="198"/>
  <c r="E13" i="198"/>
  <c r="G3" i="330"/>
  <c r="D2" i="285"/>
  <c r="E2" i="198"/>
  <c r="F7" i="198"/>
  <c r="H7" i="198"/>
  <c r="L7" i="198"/>
  <c r="D2" i="200"/>
  <c r="D2" i="201"/>
  <c r="D2" i="65"/>
  <c r="I13" i="198"/>
  <c r="D2" i="335"/>
  <c r="C17" i="279"/>
  <c r="C18" i="279" s="1"/>
  <c r="H89" i="335" l="1"/>
  <c r="H89" i="284"/>
  <c r="C19" i="279"/>
  <c r="C22" i="279" s="1"/>
  <c r="C24" i="279" s="1"/>
  <c r="I61" i="198"/>
  <c r="I31" i="198" s="1"/>
  <c r="I18" i="198"/>
  <c r="J28" i="198"/>
  <c r="E40" i="201"/>
  <c r="E51" i="201" s="1"/>
  <c r="G89" i="335"/>
  <c r="B19" i="279"/>
  <c r="B22" i="279" s="1"/>
  <c r="B24" i="279" s="1"/>
  <c r="D89" i="284"/>
  <c r="L11" i="198"/>
  <c r="P51" i="204"/>
  <c r="P52" i="204" s="1"/>
  <c r="H19" i="279"/>
  <c r="H22" i="279" s="1"/>
  <c r="H24" i="279" s="1"/>
  <c r="C89" i="284"/>
  <c r="I27" i="279"/>
  <c r="D45" i="198"/>
  <c r="D8" i="198" s="1"/>
  <c r="Q28" i="204"/>
  <c r="Q29" i="204" s="1"/>
  <c r="G51" i="202"/>
  <c r="I19" i="279"/>
  <c r="I22" i="279" s="1"/>
  <c r="I24" i="279" s="1"/>
  <c r="B27" i="279"/>
  <c r="D19" i="279"/>
  <c r="D22" i="279" s="1"/>
  <c r="D24" i="279" s="1"/>
  <c r="K45" i="198"/>
  <c r="K8" i="198" s="1"/>
  <c r="J27" i="279"/>
  <c r="I3" i="334"/>
  <c r="I3" i="200"/>
  <c r="J51" i="202"/>
  <c r="H36" i="279"/>
  <c r="I23" i="201"/>
  <c r="I2" i="336"/>
  <c r="L45" i="198"/>
  <c r="L8" i="198" s="1"/>
  <c r="K40" i="201"/>
  <c r="K51" i="201" s="1"/>
  <c r="L40" i="198"/>
  <c r="L6" i="198" s="1"/>
  <c r="J19" i="279"/>
  <c r="J22" i="279" s="1"/>
  <c r="J24" i="279" s="1"/>
  <c r="F89" i="335"/>
  <c r="E51" i="202"/>
  <c r="Q51" i="204"/>
  <c r="Q52" i="204" s="1"/>
  <c r="E27" i="279"/>
  <c r="F89" i="284"/>
  <c r="K89" i="335"/>
  <c r="E89" i="335"/>
  <c r="J89" i="335"/>
  <c r="J89" i="284"/>
  <c r="K89" i="284"/>
  <c r="E89" i="284"/>
  <c r="E2" i="200"/>
  <c r="J3" i="198"/>
  <c r="E2" i="199"/>
  <c r="E2" i="284"/>
  <c r="E2" i="202"/>
  <c r="K3" i="329"/>
  <c r="B2" i="204"/>
  <c r="I3" i="65"/>
  <c r="I3" i="201"/>
  <c r="C2" i="243"/>
  <c r="C3" i="330"/>
  <c r="I3" i="335"/>
  <c r="I3" i="202"/>
  <c r="E3" i="283"/>
  <c r="O3" i="204"/>
  <c r="I3" i="199"/>
  <c r="H3" i="279"/>
  <c r="I3" i="284"/>
  <c r="E38" i="200"/>
  <c r="E39" i="200" s="1"/>
  <c r="C45" i="279"/>
  <c r="D44" i="200"/>
  <c r="H67" i="198"/>
  <c r="G66" i="198"/>
  <c r="G33" i="198" s="1"/>
  <c r="J3" i="65"/>
  <c r="F3" i="283"/>
  <c r="J3" i="334"/>
  <c r="J3" i="202"/>
  <c r="J3" i="201"/>
  <c r="K3" i="198"/>
  <c r="P3" i="204"/>
  <c r="J3" i="200"/>
  <c r="J3" i="285"/>
  <c r="J3" i="284"/>
  <c r="J3" i="335"/>
  <c r="D3" i="330"/>
  <c r="L3" i="329"/>
  <c r="C2" i="201"/>
  <c r="C2" i="284"/>
  <c r="C2" i="334"/>
  <c r="C2" i="200"/>
  <c r="C2" i="199"/>
  <c r="C2" i="65"/>
  <c r="C2" i="285"/>
  <c r="C2" i="335"/>
  <c r="C2" i="202"/>
  <c r="B2" i="279"/>
  <c r="D2" i="198"/>
  <c r="H3" i="330"/>
  <c r="J2" i="283"/>
  <c r="F3" i="330"/>
  <c r="H2" i="283"/>
  <c r="E2" i="334"/>
  <c r="E2" i="335"/>
  <c r="C2" i="336"/>
  <c r="F2" i="198"/>
  <c r="K3" i="65"/>
  <c r="J3" i="279"/>
  <c r="K3" i="202"/>
  <c r="K3" i="201"/>
  <c r="L3" i="198"/>
  <c r="Q3" i="204"/>
  <c r="K3" i="285"/>
  <c r="K3" i="199"/>
  <c r="K3" i="335"/>
  <c r="K3" i="334"/>
  <c r="E3" i="330"/>
  <c r="M3" i="329"/>
  <c r="G3" i="283"/>
  <c r="K3" i="200"/>
  <c r="K3" i="284"/>
  <c r="J3" i="199"/>
  <c r="E2" i="65"/>
  <c r="E2" i="285"/>
  <c r="I3" i="279"/>
  <c r="D2" i="279"/>
  <c r="M51" i="204"/>
  <c r="N38" i="204"/>
  <c r="N51" i="204" s="1"/>
  <c r="N13" i="204"/>
  <c r="N25" i="204" s="1"/>
  <c r="M25" i="204"/>
  <c r="I40" i="201" l="1"/>
  <c r="I51" i="201" s="1"/>
  <c r="J40" i="198"/>
  <c r="J6" i="198" s="1"/>
  <c r="F38" i="200"/>
  <c r="F39" i="200" s="1"/>
  <c r="G38" i="200"/>
  <c r="G39" i="200" s="1"/>
  <c r="D45" i="279"/>
  <c r="H38" i="200"/>
  <c r="H39" i="200" s="1"/>
  <c r="E44" i="200"/>
  <c r="I67" i="198"/>
  <c r="H66" i="198"/>
  <c r="H33" i="198" s="1"/>
  <c r="E45" i="279" l="1"/>
  <c r="F44" i="200"/>
  <c r="J67" i="198"/>
  <c r="I66" i="198"/>
  <c r="I33" i="198" s="1"/>
  <c r="H44" i="200"/>
  <c r="G45" i="279"/>
  <c r="I38" i="200"/>
  <c r="I39" i="200" s="1"/>
  <c r="G44" i="200"/>
  <c r="F45" i="279"/>
  <c r="J38" i="200" l="1"/>
  <c r="J39" i="200" s="1"/>
  <c r="I44" i="200"/>
  <c r="H45" i="279"/>
  <c r="J66" i="198"/>
  <c r="J33" i="198" s="1"/>
  <c r="K67" i="198"/>
  <c r="L67" i="198" l="1"/>
  <c r="L66" i="198" s="1"/>
  <c r="L33" i="198" s="1"/>
  <c r="K66" i="198"/>
  <c r="K33" i="198" s="1"/>
  <c r="K38" i="200"/>
  <c r="K39" i="200" s="1"/>
  <c r="J44" i="200"/>
  <c r="I45" i="279"/>
  <c r="K44" i="200" l="1"/>
  <c r="J45" i="279"/>
</calcChain>
</file>

<file path=xl/sharedStrings.xml><?xml version="1.0" encoding="utf-8"?>
<sst xmlns="http://schemas.openxmlformats.org/spreadsheetml/2006/main" count="1779" uniqueCount="1065">
  <si>
    <t>Basic Salaries</t>
  </si>
  <si>
    <t>Pension Contributions</t>
  </si>
  <si>
    <t>Medical Aid Contributions</t>
  </si>
  <si>
    <t>Performance Bonus</t>
  </si>
  <si>
    <t>Remuneration of Board Members</t>
  </si>
  <si>
    <t>Water</t>
  </si>
  <si>
    <t>Sanitation</t>
  </si>
  <si>
    <t>Schedule of funding diligence</t>
  </si>
  <si>
    <t>Other expenditure</t>
  </si>
  <si>
    <t>Share capital</t>
  </si>
  <si>
    <t>Present value</t>
  </si>
  <si>
    <t>Forecasts</t>
  </si>
  <si>
    <t>Future operational costs by vote</t>
  </si>
  <si>
    <t>Future revenue by source</t>
  </si>
  <si>
    <t>Net Financial Implications</t>
  </si>
  <si>
    <t>Total future operational costs</t>
  </si>
  <si>
    <t>Total future revenue</t>
  </si>
  <si>
    <t>Revenue Management</t>
  </si>
  <si>
    <t>Decrease (Increase) in non-current debtors</t>
  </si>
  <si>
    <t>Plant &amp; equipment</t>
  </si>
  <si>
    <t>Abattoirs</t>
  </si>
  <si>
    <t>Markets</t>
  </si>
  <si>
    <t>Forecast 2019/20</t>
  </si>
  <si>
    <t>Forecast 2018/19</t>
  </si>
  <si>
    <t>E</t>
  </si>
  <si>
    <t>F</t>
  </si>
  <si>
    <t>G</t>
  </si>
  <si>
    <t>National Government</t>
  </si>
  <si>
    <t>(Available cash + Investments)/monthly fixed operational expenditure</t>
  </si>
  <si>
    <t>Finance charges</t>
  </si>
  <si>
    <t>Other revenue</t>
  </si>
  <si>
    <t>Non current assets</t>
  </si>
  <si>
    <t>LIABILITIES</t>
  </si>
  <si>
    <t>Non current liabilities</t>
  </si>
  <si>
    <t>Total non current liabilities</t>
  </si>
  <si>
    <t>Total current liabilities</t>
  </si>
  <si>
    <t>Nat. or Prov. Govt</t>
  </si>
  <si>
    <t>Multi-year capital</t>
  </si>
  <si>
    <t>Cash/cash equivalents at the year end</t>
  </si>
  <si>
    <t xml:space="preserve"> - Adjustments Budget - Month YYYY</t>
  </si>
  <si>
    <t>Biological assets</t>
  </si>
  <si>
    <t>Intangible assets</t>
  </si>
  <si>
    <t>Taxation</t>
  </si>
  <si>
    <t>Annual Debtors Collection Rate (Payment Level %)</t>
  </si>
  <si>
    <t>Outstanding Debtors to Revenue</t>
  </si>
  <si>
    <t>Funded by:</t>
  </si>
  <si>
    <t>Internally generated funds</t>
  </si>
  <si>
    <t>Employee costs</t>
  </si>
  <si>
    <t>C</t>
  </si>
  <si>
    <t>Public contributions &amp; donations</t>
  </si>
  <si>
    <t>Surplus/ (Deficit) for the yr/period</t>
  </si>
  <si>
    <t>Depreciation and debt impairment</t>
  </si>
  <si>
    <t>Revenue by Source</t>
  </si>
  <si>
    <t>Unit of measurement</t>
  </si>
  <si>
    <t>Year11</t>
  </si>
  <si>
    <t>Year12</t>
  </si>
  <si>
    <t>Year13</t>
  </si>
  <si>
    <t>Year14</t>
  </si>
  <si>
    <t>Year15</t>
  </si>
  <si>
    <t>Revenue By Source</t>
  </si>
  <si>
    <t>Expenditure By Type</t>
  </si>
  <si>
    <t>Total Revenue</t>
  </si>
  <si>
    <t>Total Expenditure</t>
  </si>
  <si>
    <t>Surplus/(Deficit)</t>
  </si>
  <si>
    <t>Street Lighting</t>
  </si>
  <si>
    <t>Gas</t>
  </si>
  <si>
    <t>Other benefits or allowances</t>
  </si>
  <si>
    <t>Total outstanding service debtors/annual revenue received for services</t>
  </si>
  <si>
    <t>Intangibles</t>
  </si>
  <si>
    <t>Financial position</t>
  </si>
  <si>
    <t>Cash flows</t>
  </si>
  <si>
    <t>Other own revenue</t>
  </si>
  <si>
    <t>Materials and bulk purchases</t>
  </si>
  <si>
    <t>Investment revenue</t>
  </si>
  <si>
    <t>Munishort</t>
  </si>
  <si>
    <t>Community wealth/Equity</t>
  </si>
  <si>
    <t>Remuneration of Directors</t>
  </si>
  <si>
    <t>2. Bulk purchases - water</t>
  </si>
  <si>
    <r>
      <t xml:space="preserve">1. Revenue includes </t>
    </r>
    <r>
      <rPr>
        <i/>
        <u/>
        <sz val="8"/>
        <rFont val="Arial Narrow"/>
        <family val="2"/>
      </rPr>
      <t>sales</t>
    </r>
    <r>
      <rPr>
        <i/>
        <sz val="8"/>
        <rFont val="Arial Narrow"/>
        <family val="2"/>
      </rPr>
      <t xml:space="preserve"> of: (insert description)</t>
    </r>
  </si>
  <si>
    <t>Contributions of PPE</t>
  </si>
  <si>
    <t>Insert programme/projects description</t>
  </si>
  <si>
    <t>Water Distribution Losses</t>
  </si>
  <si>
    <t>Electricity Distribution Losses</t>
  </si>
  <si>
    <t>Head40</t>
  </si>
  <si>
    <t>Head41</t>
  </si>
  <si>
    <t>Head42</t>
  </si>
  <si>
    <t>Sub Total - Other Staff of Entities</t>
  </si>
  <si>
    <t>Funding of Provisions</t>
  </si>
  <si>
    <t>Percentage Of Provisions Not Funded</t>
  </si>
  <si>
    <t>Unfunded Provisions/Total Provisions</t>
  </si>
  <si>
    <t>Other Indicators</t>
  </si>
  <si>
    <t>Borrowing Management</t>
  </si>
  <si>
    <t>Total Contract Value</t>
  </si>
  <si>
    <t>2004/05</t>
  </si>
  <si>
    <t>2003/04</t>
  </si>
  <si>
    <t>Audited Outcome</t>
  </si>
  <si>
    <t>Quarter ended 30 June</t>
  </si>
  <si>
    <t>Head35</t>
  </si>
  <si>
    <t>Quarter ended 30 September</t>
  </si>
  <si>
    <t>B</t>
  </si>
  <si>
    <t>Expenditure Obligation By Contract - Operating</t>
  </si>
  <si>
    <t>Revenue Obligation By Contract - Operating</t>
  </si>
  <si>
    <t>Total Operating Revenue Implication</t>
  </si>
  <si>
    <t>Total Capital Expenditure Implication</t>
  </si>
  <si>
    <t>Total Expenditure Implication</t>
  </si>
  <si>
    <t>2. List all contracts with future financial obligations beyond the three years covered by the MTREF (MFMA s33)</t>
  </si>
  <si>
    <t>Overtime</t>
  </si>
  <si>
    <t>ASSETS</t>
  </si>
  <si>
    <t>Current assets</t>
  </si>
  <si>
    <t>Investments</t>
  </si>
  <si>
    <t>Current liabilities</t>
  </si>
  <si>
    <t>Provisions</t>
  </si>
  <si>
    <t>Head25</t>
  </si>
  <si>
    <t>fdil</t>
  </si>
  <si>
    <t>1. The format of the objectives are to be negotiated between the entity and the municipality</t>
  </si>
  <si>
    <t>Head5A</t>
  </si>
  <si>
    <t>Outcome</t>
  </si>
  <si>
    <t>Libraries</t>
  </si>
  <si>
    <t>2006/07</t>
  </si>
  <si>
    <t>Refuse</t>
  </si>
  <si>
    <t>Board Members of Entities</t>
  </si>
  <si>
    <t>Board Fees</t>
  </si>
  <si>
    <t>Forecast 2014/15</t>
  </si>
  <si>
    <t>Forecast 2015/16</t>
  </si>
  <si>
    <t>Forecast 2016/17</t>
  </si>
  <si>
    <t>Forecast 2017/18</t>
  </si>
  <si>
    <t>Forecast 2020/21</t>
  </si>
  <si>
    <t>Head28</t>
  </si>
  <si>
    <t>Result</t>
  </si>
  <si>
    <t>Total Capital expenditure</t>
  </si>
  <si>
    <t>Accumulated Surplus/(Deficit)</t>
  </si>
  <si>
    <t>Ref</t>
  </si>
  <si>
    <t>Preceding Years</t>
  </si>
  <si>
    <t>Total Operating Expenditure Implication</t>
  </si>
  <si>
    <t>Total sources of capital funds</t>
  </si>
  <si>
    <t>Head48</t>
  </si>
  <si>
    <t>Estimate</t>
  </si>
  <si>
    <t>Contract 1</t>
  </si>
  <si>
    <t>Contract 2</t>
  </si>
  <si>
    <t>Contract 3 etc</t>
  </si>
  <si>
    <t>Loss on disposal of PPE</t>
  </si>
  <si>
    <t>Head1A</t>
  </si>
  <si>
    <t>A</t>
  </si>
  <si>
    <t>1. If benefits in kind are provided (e.g. provision of living quarters) the full market value must be shown as the cost to the municipality</t>
  </si>
  <si>
    <t>Agency services</t>
  </si>
  <si>
    <t>Capital expenditure</t>
  </si>
  <si>
    <t>Variance explanation</t>
  </si>
  <si>
    <t>Consumer deposits</t>
  </si>
  <si>
    <t>Property, plant and equipment</t>
  </si>
  <si>
    <t>Investment property</t>
  </si>
  <si>
    <t>Long-term receivables</t>
  </si>
  <si>
    <t>Inventory</t>
  </si>
  <si>
    <t>Consumer debtors</t>
  </si>
  <si>
    <t>Other debtors</t>
  </si>
  <si>
    <t>Call investment deposits</t>
  </si>
  <si>
    <t>check</t>
  </si>
  <si>
    <t>Civic Land and Buildings</t>
  </si>
  <si>
    <t>Fire</t>
  </si>
  <si>
    <t>Conservancy</t>
  </si>
  <si>
    <t>Ambulances</t>
  </si>
  <si>
    <t>Buses</t>
  </si>
  <si>
    <t>Provincial Government</t>
  </si>
  <si>
    <t>District Municipality</t>
  </si>
  <si>
    <t>Column Definitions:</t>
  </si>
  <si>
    <t>D</t>
  </si>
  <si>
    <t>LTFS</t>
  </si>
  <si>
    <t>Expiry date of investment</t>
  </si>
  <si>
    <t>H</t>
  </si>
  <si>
    <t>I</t>
  </si>
  <si>
    <t>Other Managers</t>
  </si>
  <si>
    <t>Total capital expenditure</t>
  </si>
  <si>
    <t>Original Budget</t>
  </si>
  <si>
    <t>Debt impairment</t>
  </si>
  <si>
    <t>Quarter ended 31 December</t>
  </si>
  <si>
    <t>Quarter ended 31 March</t>
  </si>
  <si>
    <t>Head44</t>
  </si>
  <si>
    <t>Head45</t>
  </si>
  <si>
    <t>2001 Census</t>
  </si>
  <si>
    <t>1996 Census</t>
  </si>
  <si>
    <t>Electricity</t>
  </si>
  <si>
    <t>Year10</t>
  </si>
  <si>
    <t>TOTAL COMMUNITY WEALTH/EQUITY</t>
  </si>
  <si>
    <t>Head24</t>
  </si>
  <si>
    <t>Desc</t>
  </si>
  <si>
    <t>Downward adjusts</t>
  </si>
  <si>
    <t>Previous target year to complete</t>
  </si>
  <si>
    <t>Total non current assets</t>
  </si>
  <si>
    <t>Total current assets</t>
  </si>
  <si>
    <t>COMMUNITY WEALTH/EQUITY</t>
  </si>
  <si>
    <t>Head49</t>
  </si>
  <si>
    <t>Head50</t>
  </si>
  <si>
    <t>Virement</t>
  </si>
  <si>
    <t>Total Outstanding Debtors to Annual Revenue</t>
  </si>
  <si>
    <t>Current assets/current liabilities less debtors &gt; 90 days</t>
  </si>
  <si>
    <t>Current Ratio adjusted for debtors</t>
  </si>
  <si>
    <t>Project number</t>
  </si>
  <si>
    <t>New or renewal</t>
  </si>
  <si>
    <t>Project information</t>
  </si>
  <si>
    <t>Ward location</t>
  </si>
  <si>
    <t>Computers - software &amp; programming</t>
  </si>
  <si>
    <t>Common sheet headings</t>
  </si>
  <si>
    <t>Infrastructure</t>
  </si>
  <si>
    <t>Head47</t>
  </si>
  <si>
    <t>Head27a</t>
  </si>
  <si>
    <t>References</t>
  </si>
  <si>
    <t>Net cash from (used) financing</t>
  </si>
  <si>
    <t>Net cash from (used) operating</t>
  </si>
  <si>
    <t>Net cash from (used) investing</t>
  </si>
  <si>
    <t>Municipal Entities budget schedules</t>
  </si>
  <si>
    <t>i. Debt coverage</t>
  </si>
  <si>
    <t>iii. Cost coverage</t>
  </si>
  <si>
    <t>Forecast Financial Position</t>
  </si>
  <si>
    <t>Cash1</t>
  </si>
  <si>
    <t>Cash2</t>
  </si>
  <si>
    <t>Muni</t>
  </si>
  <si>
    <t>Head1B</t>
  </si>
  <si>
    <t>Head26</t>
  </si>
  <si>
    <t>Vote Description</t>
  </si>
  <si>
    <t>VDesc</t>
  </si>
  <si>
    <t>Head27</t>
  </si>
  <si>
    <t>Depreciation &amp; asset impairment</t>
  </si>
  <si>
    <t>Head55</t>
  </si>
  <si>
    <t>Borrowed funding of capital expenditure</t>
  </si>
  <si>
    <t>MEBsum</t>
  </si>
  <si>
    <t>Dividends</t>
  </si>
  <si>
    <t>R thousands</t>
  </si>
  <si>
    <t>Heritage assets</t>
  </si>
  <si>
    <t>Investment properties</t>
  </si>
  <si>
    <t>Other assets</t>
  </si>
  <si>
    <t>Remuneration</t>
  </si>
  <si>
    <t>Municipal Vote/Capital project</t>
  </si>
  <si>
    <t>In-kind benefits</t>
  </si>
  <si>
    <t>Housing allowance</t>
  </si>
  <si>
    <t>Description</t>
  </si>
  <si>
    <t>Total</t>
  </si>
  <si>
    <t>YTD  Actual 31 Dec</t>
  </si>
  <si>
    <t>YTD  Budget 31 Dec</t>
  </si>
  <si>
    <t>MEB1</t>
  </si>
  <si>
    <t>MEB2</t>
  </si>
  <si>
    <t>MEB3</t>
  </si>
  <si>
    <t>MEB4</t>
  </si>
  <si>
    <t>MEB5</t>
  </si>
  <si>
    <t>MEB6</t>
  </si>
  <si>
    <t>Head2A</t>
  </si>
  <si>
    <t>6. Include contributions from Public Entities; e.g. Eskom</t>
  </si>
  <si>
    <t>Budget Cash Flow</t>
  </si>
  <si>
    <t>Forecast Cash Flow</t>
  </si>
  <si>
    <t>Expenditure includes repairs &amp; maintenance of R'000</t>
  </si>
  <si>
    <t>RandM</t>
  </si>
  <si>
    <t>Grants</t>
  </si>
  <si>
    <t>Ratepayers and other</t>
  </si>
  <si>
    <t>Government - operating</t>
  </si>
  <si>
    <t>Government - capital</t>
  </si>
  <si>
    <t>Suppliers and employees</t>
  </si>
  <si>
    <t>Capital assets</t>
  </si>
  <si>
    <t>Year1</t>
  </si>
  <si>
    <t>Year2</t>
  </si>
  <si>
    <t>Year3</t>
  </si>
  <si>
    <t>Year4</t>
  </si>
  <si>
    <t>Year5</t>
  </si>
  <si>
    <t>Year6</t>
  </si>
  <si>
    <t>Year7</t>
  </si>
  <si>
    <t>Year8</t>
  </si>
  <si>
    <t>Year9</t>
  </si>
  <si>
    <t>Forecast 2010/11</t>
  </si>
  <si>
    <t>Forecast 2011/12</t>
  </si>
  <si>
    <t>Forecast 2012/13</t>
  </si>
  <si>
    <t>Forecast 2013/14</t>
  </si>
  <si>
    <t>MEB7</t>
  </si>
  <si>
    <t>Permanent employees</t>
  </si>
  <si>
    <t>Finance</t>
  </si>
  <si>
    <t>Single Year expenditure</t>
  </si>
  <si>
    <t>3. Refer municipal budget requirements</t>
  </si>
  <si>
    <t>Head57</t>
  </si>
  <si>
    <t xml:space="preserve">Month DD, YYYY - </t>
  </si>
  <si>
    <t>YearTD actual</t>
  </si>
  <si>
    <t>YearTD budget</t>
  </si>
  <si>
    <t>Other Staff of Entities</t>
  </si>
  <si>
    <t>Specialised vehicles</t>
  </si>
  <si>
    <t>Other</t>
  </si>
  <si>
    <t>check balance</t>
  </si>
  <si>
    <t>CASH FLOWS FROM INVESTING ACTIVITIES</t>
  </si>
  <si>
    <t>% increase</t>
  </si>
  <si>
    <t>Gearing</t>
  </si>
  <si>
    <t>Safety of Capital</t>
  </si>
  <si>
    <t>Liquidity</t>
  </si>
  <si>
    <t>Liquidity Ratio</t>
  </si>
  <si>
    <t>I&amp;D/Total Revenue - capital revenue</t>
  </si>
  <si>
    <t>Head36</t>
  </si>
  <si>
    <t>Head37</t>
  </si>
  <si>
    <t>Head38</t>
  </si>
  <si>
    <t>CASH FLOWS FROM FINANCING ACTIVITIES</t>
  </si>
  <si>
    <t>Bank overdraft</t>
  </si>
  <si>
    <t>Budget</t>
  </si>
  <si>
    <t>Head39</t>
  </si>
  <si>
    <t>Monthly actual</t>
  </si>
  <si>
    <t>Financial Performance</t>
  </si>
  <si>
    <t>Standard nomenclature</t>
  </si>
  <si>
    <t>External mechanism</t>
  </si>
  <si>
    <t>Name of organisation</t>
  </si>
  <si>
    <t>Expiry date of service delivery agreement or contract</t>
  </si>
  <si>
    <t>1. Total period from commencement until end</t>
  </si>
  <si>
    <t>Service provided</t>
  </si>
  <si>
    <t>2. Annual value</t>
  </si>
  <si>
    <t>Information Technology</t>
  </si>
  <si>
    <t>Repairs &amp; Maintenance</t>
  </si>
  <si>
    <t>Interest &amp; Depreciation</t>
  </si>
  <si>
    <t>Employee costs/Total Revenue - capital revenue</t>
  </si>
  <si>
    <t>R&amp;M/Total Revenue - capital revenue</t>
  </si>
  <si>
    <t>Head29</t>
  </si>
  <si>
    <t>Head30</t>
  </si>
  <si>
    <t>Head31</t>
  </si>
  <si>
    <t>Head32</t>
  </si>
  <si>
    <t>Head33</t>
  </si>
  <si>
    <t>Head34</t>
  </si>
  <si>
    <t>Annual target 2007/08</t>
  </si>
  <si>
    <t>Revised target 2007/08</t>
  </si>
  <si>
    <t>Sub Total - Board Members of Entities</t>
  </si>
  <si>
    <t>Basis of calculation</t>
  </si>
  <si>
    <t>NET ASSETS</t>
  </si>
  <si>
    <t>TOTAL ASSETS</t>
  </si>
  <si>
    <t>Cash/cash equivalents at the year end:</t>
  </si>
  <si>
    <t>Borrowing</t>
  </si>
  <si>
    <t>Clinics</t>
  </si>
  <si>
    <t>Museums &amp; Art Galleries</t>
  </si>
  <si>
    <t>July</t>
  </si>
  <si>
    <t>Head43</t>
  </si>
  <si>
    <t>YTD variance</t>
  </si>
  <si>
    <t>Cash</t>
  </si>
  <si>
    <t>Current portion of long-term receivables</t>
  </si>
  <si>
    <t>Trade and other payables</t>
  </si>
  <si>
    <t>(Total Operating Revenue - Operating Grants)/Debt service payments due within financial year)</t>
  </si>
  <si>
    <t>Notes</t>
  </si>
  <si>
    <t>Cash flow</t>
  </si>
  <si>
    <t>Parent Municipality</t>
  </si>
  <si>
    <t>Head56</t>
  </si>
  <si>
    <t>Total Adjusts.</t>
  </si>
  <si>
    <t>Total Long-term Borrowing/ Total Assets</t>
  </si>
  <si>
    <t>% of Creditors Paid Within Terms (within MFMA s 65(e))</t>
  </si>
  <si>
    <t>ii. O/S Service Debtors to Revenue</t>
  </si>
  <si>
    <t>Long Term Borrowing / Funds &amp; Reserves</t>
  </si>
  <si>
    <t>Loans, Accounts Payable, Overdraft &amp; Tax Provision / Funds &amp; Reserves</t>
  </si>
  <si>
    <t>Monetary Assets / Current Liabilities</t>
  </si>
  <si>
    <t>Current assets / current liabilities</t>
  </si>
  <si>
    <t>Last 12 Mths Receipts / Last 12 Mths Billing</t>
  </si>
  <si>
    <t>Debtors &gt; 12 Mths Recovered / Total Debtors &gt; 12 Months Old</t>
  </si>
  <si>
    <t>Period of investment</t>
  </si>
  <si>
    <t>Type of investment</t>
  </si>
  <si>
    <t>Yield
%</t>
  </si>
  <si>
    <t>Years/months</t>
  </si>
  <si>
    <t>Months</t>
  </si>
  <si>
    <t>Borrowing to Asset Ratio</t>
  </si>
  <si>
    <t>Capital Charges to Operating Expenditure</t>
  </si>
  <si>
    <t>Current Ratio</t>
  </si>
  <si>
    <t>(1) Delete if not an electricity entity</t>
  </si>
  <si>
    <t>Financial viability indicators</t>
  </si>
  <si>
    <t>(2) Delete if not an water entity</t>
  </si>
  <si>
    <t>Head51</t>
  </si>
  <si>
    <t>Head52</t>
  </si>
  <si>
    <t>Head53</t>
  </si>
  <si>
    <t>Head54</t>
  </si>
  <si>
    <t>Accum. Funds</t>
  </si>
  <si>
    <t>Other Adjusts.</t>
  </si>
  <si>
    <t>Unfore. Unavoid.</t>
  </si>
  <si>
    <t>List sub-class</t>
  </si>
  <si>
    <t>Senior Managers of Entities</t>
  </si>
  <si>
    <t>Sub Total - Senior Managers of Entities</t>
  </si>
  <si>
    <t>Medium Term Revenue and Expenditure Framework</t>
  </si>
  <si>
    <t>Adjusted Budget</t>
  </si>
  <si>
    <t>Full Year Forecast</t>
  </si>
  <si>
    <t>Service charges - electricity revenue</t>
  </si>
  <si>
    <t>Service charges - water revenue</t>
  </si>
  <si>
    <t>Service charges - sanitation revenue</t>
  </si>
  <si>
    <t>Service charges - other</t>
  </si>
  <si>
    <t>CASH FLOW FROM OPERATING ACTIVITIES</t>
  </si>
  <si>
    <t>Increase in consumer deposits</t>
  </si>
  <si>
    <t>Cash/cash equivalents at the year begin:</t>
  </si>
  <si>
    <t>Interest earned - external investments</t>
  </si>
  <si>
    <t>Interest earned - outstanding debtors</t>
  </si>
  <si>
    <t>Fines</t>
  </si>
  <si>
    <t>Licences and permits</t>
  </si>
  <si>
    <t>Gains on disposal of PPE</t>
  </si>
  <si>
    <t>Employee related costs</t>
  </si>
  <si>
    <t>Collection costs</t>
  </si>
  <si>
    <t>Bulk purchases</t>
  </si>
  <si>
    <t>Contracted services</t>
  </si>
  <si>
    <t>Budgeted Financial Performance</t>
  </si>
  <si>
    <t>Forecast Financial Performance</t>
  </si>
  <si>
    <t>SFPerf1</t>
  </si>
  <si>
    <t>SFPerf2</t>
  </si>
  <si>
    <t>SFPos1</t>
  </si>
  <si>
    <t>SFPos2</t>
  </si>
  <si>
    <t>Budgeted Financial Position</t>
  </si>
  <si>
    <t>1. Summarise the total capital cost until capital project is operational (MFMA s19(2)(a))</t>
  </si>
  <si>
    <t>2. Summary of future operational costs from when projects operational (present value until the end of each asset's useful life) (MFMA s19(2)(b))</t>
  </si>
  <si>
    <t>3. Summarise the future revenue from when projects are operational, including municipal tax and tariff implications, (present value until the end of asset's useful life)</t>
  </si>
  <si>
    <t>3. Include deferred tax and tax provisions</t>
  </si>
  <si>
    <t>Market value</t>
  </si>
  <si>
    <t>Begin</t>
  </si>
  <si>
    <t>End</t>
  </si>
  <si>
    <t>Interest</t>
  </si>
  <si>
    <t>Fully accrued</t>
  </si>
  <si>
    <t>Summary of Employee and Board Member remuneration</t>
  </si>
  <si>
    <t>Dividends paid</t>
  </si>
  <si>
    <t>Decrease (increase) other non-current receivables</t>
  </si>
  <si>
    <t>Decrease (increase) in non-current investments</t>
  </si>
  <si>
    <t>NET CASH FROM/(USED) OPERATING ACTIVITIES</t>
  </si>
  <si>
    <t>NET CASH FROM/(USED) INVESTING ACTIVITIES</t>
  </si>
  <si>
    <t>NET CASH FROM/(USED) FINANCING ACTIVITIES</t>
  </si>
  <si>
    <t>MEB8</t>
  </si>
  <si>
    <t>Total Capital Funding</t>
  </si>
  <si>
    <t>Surplus/ (Deficit) for the year</t>
  </si>
  <si>
    <t>Investments by maturity
Name of institution &amp; investment ID</t>
  </si>
  <si>
    <t>Receipts</t>
  </si>
  <si>
    <t>Payments</t>
  </si>
  <si>
    <t>Repayment of borrowing</t>
  </si>
  <si>
    <t>Short term loans</t>
  </si>
  <si>
    <t>NET INCREASE/ (DECREASE) IN CASH HELD</t>
  </si>
  <si>
    <t>Community</t>
  </si>
  <si>
    <t>Reserves</t>
  </si>
  <si>
    <t>Head1</t>
  </si>
  <si>
    <t>August</t>
  </si>
  <si>
    <t>Sept.</t>
  </si>
  <si>
    <t>October</t>
  </si>
  <si>
    <t>November</t>
  </si>
  <si>
    <t>December</t>
  </si>
  <si>
    <t>January</t>
  </si>
  <si>
    <t>February</t>
  </si>
  <si>
    <t>March</t>
  </si>
  <si>
    <t>April</t>
  </si>
  <si>
    <t>May</t>
  </si>
  <si>
    <t>June</t>
  </si>
  <si>
    <t>Other materials</t>
  </si>
  <si>
    <t>Dividends received</t>
  </si>
  <si>
    <t>Proceeds on disposal of PPE</t>
  </si>
  <si>
    <t>Head46</t>
  </si>
  <si>
    <t>Total Project Estimate</t>
  </si>
  <si>
    <t>Capital expenditure &amp; funds sources</t>
  </si>
  <si>
    <t>Property rates</t>
  </si>
  <si>
    <t>Head2</t>
  </si>
  <si>
    <t>Head3</t>
  </si>
  <si>
    <t>Head4</t>
  </si>
  <si>
    <t>Head5</t>
  </si>
  <si>
    <t>Head6</t>
  </si>
  <si>
    <t>Head7</t>
  </si>
  <si>
    <t>Head8</t>
  </si>
  <si>
    <t>Head9</t>
  </si>
  <si>
    <t>Head10</t>
  </si>
  <si>
    <t>Forecast 2021/22</t>
  </si>
  <si>
    <t>Head11</t>
  </si>
  <si>
    <t>Head12</t>
  </si>
  <si>
    <t>Head13</t>
  </si>
  <si>
    <t>Head14</t>
  </si>
  <si>
    <t>Head15</t>
  </si>
  <si>
    <t>Head16</t>
  </si>
  <si>
    <t>Head17</t>
  </si>
  <si>
    <t>Head18</t>
  </si>
  <si>
    <t>Head19</t>
  </si>
  <si>
    <t>Head20</t>
  </si>
  <si>
    <t>Head21</t>
  </si>
  <si>
    <t>Head22</t>
  </si>
  <si>
    <t>Head23</t>
  </si>
  <si>
    <t>2. Bulk purchases - electricity</t>
  </si>
  <si>
    <t>Borrowing long term/refinancing</t>
  </si>
  <si>
    <t>MEB10</t>
  </si>
  <si>
    <t>MEB11</t>
  </si>
  <si>
    <t>Performance target description</t>
  </si>
  <si>
    <t>Description of indicator</t>
  </si>
  <si>
    <t>Expenditure Obligation By Contract - Capital</t>
  </si>
  <si>
    <t>Total Municipal Entities remuneration</t>
  </si>
  <si>
    <t>Transfers recognised - capital</t>
  </si>
  <si>
    <t>A. Audited actual for prior year (3 years before current year) as per the audited financial statements</t>
  </si>
  <si>
    <t>B. Audited actual for prior year (2 years before current year) as per the audited financial statements</t>
  </si>
  <si>
    <t>C. Audited actual for prior year (1 year before current year) as per the audited financial statements</t>
  </si>
  <si>
    <t>D. The original budget approved by council for the current year</t>
  </si>
  <si>
    <t>G. The amount to be appropriated for the budget year</t>
  </si>
  <si>
    <t>F. An estimate of final actual amounts (pre audit) for the current year at the point in time of preparing the next MTREF. This may differ from E</t>
  </si>
  <si>
    <t>E. The budget for current year as adjusted by council resolution in terms of section 28 of the MFMA</t>
  </si>
  <si>
    <t>H. The indicative projection for the 2nd year of the MTREF</t>
  </si>
  <si>
    <t>I. The indicative projection for the 3rd year of the MTREF</t>
  </si>
  <si>
    <t>1. Total investments must reconcile to budget table D6 for the Current Year</t>
  </si>
  <si>
    <t>1. Must reconcile with budget table D5</t>
  </si>
  <si>
    <t>2. Must reconcile with budget table D6</t>
  </si>
  <si>
    <t>Forecast</t>
  </si>
  <si>
    <r>
      <t xml:space="preserve">1. Total implication for </t>
    </r>
    <r>
      <rPr>
        <i/>
        <u/>
        <sz val="8"/>
        <rFont val="Arial Narrow"/>
        <family val="2"/>
      </rPr>
      <t>all</t>
    </r>
    <r>
      <rPr>
        <i/>
        <sz val="8"/>
        <rFont val="Arial Narrow"/>
        <family val="2"/>
      </rPr>
      <t xml:space="preserve"> years to be summed and total stated in 'Preceding Years' column</t>
    </r>
  </si>
  <si>
    <t>Prior Adjusted</t>
  </si>
  <si>
    <t>Property rates - penalties &amp; collection charges</t>
  </si>
  <si>
    <t>Service charges</t>
  </si>
  <si>
    <t>Rental of facilities and equipment</t>
  </si>
  <si>
    <t>Head5B</t>
  </si>
  <si>
    <t>Pre-audit outcome</t>
  </si>
  <si>
    <t>Head58</t>
  </si>
  <si>
    <t>Parent muni.</t>
  </si>
  <si>
    <t>Head59</t>
  </si>
  <si>
    <t>Head3A</t>
  </si>
  <si>
    <t>TOTAL LIABILITIES</t>
  </si>
  <si>
    <t>MEB1A</t>
  </si>
  <si>
    <t>Debt to Equity</t>
  </si>
  <si>
    <t>Longstanding Debtors Reduction Due To Recovery</t>
  </si>
  <si>
    <t>Creditors Management</t>
  </si>
  <si>
    <t>Creditors System Efficiency</t>
  </si>
  <si>
    <t xml:space="preserve">Entity Financial Performance Bugdet (Revenue &amp; Expenditure by Municipal Vote) - </t>
  </si>
  <si>
    <t>Names</t>
  </si>
  <si>
    <t>Insert single year budgets and indicative estimates</t>
  </si>
  <si>
    <t>Suppliers, employees and other</t>
  </si>
  <si>
    <t>Borrowing long term/refinancing/short term</t>
  </si>
  <si>
    <t>Calculation data</t>
  </si>
  <si>
    <t>Finance charges &amp; Depreciation / Operating Expenditure</t>
  </si>
  <si>
    <t>Total Capital Expenditure</t>
  </si>
  <si>
    <t>Debt</t>
  </si>
  <si>
    <t>Debtors &gt; 90 days</t>
  </si>
  <si>
    <t>Monetary current assets</t>
  </si>
  <si>
    <t>Last 12 months receipts</t>
  </si>
  <si>
    <t>Last 12 months billing</t>
  </si>
  <si>
    <t>Outstanding debtors</t>
  </si>
  <si>
    <t>Repairs and maintenance</t>
  </si>
  <si>
    <t>Total Operating Revenue - Operating Grants</t>
  </si>
  <si>
    <t>Debt service payments due within financial year</t>
  </si>
  <si>
    <t>Outstanding service debtors</t>
  </si>
  <si>
    <t>Annual revenue received for services</t>
  </si>
  <si>
    <t>Cash and investments</t>
  </si>
  <si>
    <t>Fixed operational percentage estimate</t>
  </si>
  <si>
    <t>Monthly fixed operational expenditure</t>
  </si>
  <si>
    <t>Grants:</t>
  </si>
  <si>
    <t>National - opex</t>
  </si>
  <si>
    <t>Provincial - opex</t>
  </si>
  <si>
    <t>National - capex</t>
  </si>
  <si>
    <t>Provincial - capex</t>
  </si>
  <si>
    <t>2005/06</t>
  </si>
  <si>
    <t>2007/08</t>
  </si>
  <si>
    <t>2008/09</t>
  </si>
  <si>
    <t xml:space="preserve">  Equitable share</t>
  </si>
  <si>
    <t xml:space="preserve">  Health subsidy</t>
  </si>
  <si>
    <t xml:space="preserve">  Municipal Infrastructure (MIG)</t>
  </si>
  <si>
    <t xml:space="preserve">  Levy replacement</t>
  </si>
  <si>
    <t xml:space="preserve">  Ambulance subsidy</t>
  </si>
  <si>
    <t xml:space="preserve">  Public Transport</t>
  </si>
  <si>
    <t xml:space="preserve">  Finance Management</t>
  </si>
  <si>
    <t xml:space="preserve">  Housing</t>
  </si>
  <si>
    <t xml:space="preserve">  Public Works</t>
  </si>
  <si>
    <t>Current Year 2006/07</t>
  </si>
  <si>
    <t>Current Year 2007/08</t>
  </si>
  <si>
    <t>Current Year 2008/09</t>
  </si>
  <si>
    <t xml:space="preserve">  Municipal Systems Improvement</t>
  </si>
  <si>
    <t xml:space="preserve">  Sports and Recreation</t>
  </si>
  <si>
    <t xml:space="preserve">  Sport and Recreation</t>
  </si>
  <si>
    <t xml:space="preserve">  Restructuring</t>
  </si>
  <si>
    <t xml:space="preserve">  Water Affairs</t>
  </si>
  <si>
    <t>2007/08 Medium Term Revenue &amp; Expenditure Framework</t>
  </si>
  <si>
    <t>2008/09 Medium Term Revenue &amp; Expenditure Framework</t>
  </si>
  <si>
    <t>2009/10 Medium Term Revenue &amp; Expenditure Framework</t>
  </si>
  <si>
    <t xml:space="preserve">  Department of Water Affairs</t>
  </si>
  <si>
    <t>Budget Year 2007/08</t>
  </si>
  <si>
    <t>Budget Year 2008/09</t>
  </si>
  <si>
    <t>Budget Year 2009/10</t>
  </si>
  <si>
    <t>Budget Year +1 2008/09</t>
  </si>
  <si>
    <t>Budget Year +1 2009/10</t>
  </si>
  <si>
    <t>Budget Year +1 2010/11</t>
  </si>
  <si>
    <t>Budget Year +2 2009/10</t>
  </si>
  <si>
    <t>Budget Year +2 2010/11</t>
  </si>
  <si>
    <t>Budget Year +2 2011/12</t>
  </si>
  <si>
    <t>Forecast 2022/23</t>
  </si>
  <si>
    <t>Forecast 2023/24</t>
  </si>
  <si>
    <t>Adjustments Budget</t>
  </si>
  <si>
    <t>Annual target 2008/09</t>
  </si>
  <si>
    <t>Annual target 2009/10</t>
  </si>
  <si>
    <t>Revised target 2008/09</t>
  </si>
  <si>
    <t>Revised target 2009/10</t>
  </si>
  <si>
    <t>Prior year -1</t>
  </si>
  <si>
    <t>Prior year -2</t>
  </si>
  <si>
    <t>Prior year -3</t>
  </si>
  <si>
    <t>Year in which budget is being prepared</t>
  </si>
  <si>
    <t>MTREF name</t>
  </si>
  <si>
    <t>1st year of MTREF</t>
  </si>
  <si>
    <t>2nd year of MTREF</t>
  </si>
  <si>
    <t>3rd year of MTREF</t>
  </si>
  <si>
    <t>1st yr of long term forecast</t>
  </si>
  <si>
    <t>Next yr of long term forecast</t>
  </si>
  <si>
    <t>NOTE: This sheet should not be directly amended - select headings from sheet 'Start'</t>
  </si>
  <si>
    <t>Multi-Year expenditure</t>
  </si>
  <si>
    <t xml:space="preserve">Table D1 </t>
  </si>
  <si>
    <t xml:space="preserve">Table D2 </t>
  </si>
  <si>
    <t xml:space="preserve">Table D3 </t>
  </si>
  <si>
    <t xml:space="preserve">Table D4 </t>
  </si>
  <si>
    <t xml:space="preserve">Table D5 </t>
  </si>
  <si>
    <t>Total Revenue (excluding capital transfers and contributions)</t>
  </si>
  <si>
    <t>Transfers and grants</t>
  </si>
  <si>
    <t>Capital single-year expenditure sub-total</t>
  </si>
  <si>
    <t>Infrastructure - Road transport</t>
  </si>
  <si>
    <t>Roads, Pavements &amp; Bridges</t>
  </si>
  <si>
    <t>Storm water</t>
  </si>
  <si>
    <t>Infrastructure - Electricity</t>
  </si>
  <si>
    <t>Generation</t>
  </si>
  <si>
    <t>Transmission &amp; Reticulation</t>
  </si>
  <si>
    <t>Infrastructure - Water</t>
  </si>
  <si>
    <t>Dams &amp; Reservoirs</t>
  </si>
  <si>
    <t>Water purification</t>
  </si>
  <si>
    <t>Reticulation</t>
  </si>
  <si>
    <t>Infrastructure - Sanitation</t>
  </si>
  <si>
    <t>Sewerage purification</t>
  </si>
  <si>
    <t>Infrastructure - Other</t>
  </si>
  <si>
    <t>Waste Management</t>
  </si>
  <si>
    <t>Transportation</t>
  </si>
  <si>
    <t>Parks &amp; gardens</t>
  </si>
  <si>
    <t>Sportsfields &amp; stadia</t>
  </si>
  <si>
    <t>Swimming pools</t>
  </si>
  <si>
    <t>Community halls</t>
  </si>
  <si>
    <t>Recreational facilities</t>
  </si>
  <si>
    <t>Fire, safety &amp; emergency</t>
  </si>
  <si>
    <t>Security and policing</t>
  </si>
  <si>
    <t>Cemeteries</t>
  </si>
  <si>
    <t>Social rental housing</t>
  </si>
  <si>
    <t>Buildings</t>
  </si>
  <si>
    <t>Housing development</t>
  </si>
  <si>
    <t>General vehicles</t>
  </si>
  <si>
    <t>Computers - hardware/equipment</t>
  </si>
  <si>
    <t>Furniture and other office equipment</t>
  </si>
  <si>
    <t>Other Buildings</t>
  </si>
  <si>
    <t>Other Land</t>
  </si>
  <si>
    <t>Surplus Assets - (Investment or Inventory)</t>
  </si>
  <si>
    <r>
      <t xml:space="preserve">Other </t>
    </r>
    <r>
      <rPr>
        <i/>
        <sz val="8"/>
        <rFont val="Arial Narrow"/>
        <family val="2"/>
      </rPr>
      <t>(list sub-class)</t>
    </r>
  </si>
  <si>
    <t>Motor vehicle allowance</t>
  </si>
  <si>
    <t>Summary of Personnel Numbers</t>
  </si>
  <si>
    <t>Number</t>
  </si>
  <si>
    <t>Positions</t>
  </si>
  <si>
    <t>Contract employees</t>
  </si>
  <si>
    <t>Municipal Council and Boards of Municipal Entities</t>
  </si>
  <si>
    <t>Councillors (Political Office Bearers plus Other Councillors)</t>
  </si>
  <si>
    <t>Board Members of municipal entities</t>
  </si>
  <si>
    <t>Professionals</t>
  </si>
  <si>
    <t>Spatial/town planning</t>
  </si>
  <si>
    <t>Roads</t>
  </si>
  <si>
    <t>Technicians</t>
  </si>
  <si>
    <t>Clerks (Clerical and administrative)</t>
  </si>
  <si>
    <t>Service and sales workers</t>
  </si>
  <si>
    <t>Skilled agricultural and fishery workers</t>
  </si>
  <si>
    <t>Craft and related trades</t>
  </si>
  <si>
    <t>Plant and Machine Operators</t>
  </si>
  <si>
    <t>Elementary Occupations</t>
  </si>
  <si>
    <t>Finance personnel headcount</t>
  </si>
  <si>
    <t>Human Resources personnel headcount</t>
  </si>
  <si>
    <t>1. Full Time Equivalent (FTE). E.g. One full time person = 1FTE. A person working half time (say 4 hours out of 8) = 0.5FTE.</t>
  </si>
  <si>
    <t>2. s57 of the Systems Act</t>
  </si>
  <si>
    <t>3. Include only in Consolidated Statements</t>
  </si>
  <si>
    <t>4. Include municipal entity employees in Consolidated Statements</t>
  </si>
  <si>
    <t>5. Include headcount (number fo persons, Not FTE) of managers and staff only (exclude councillors)</t>
  </si>
  <si>
    <t>6. Managers who provide the direction of a critical technical function</t>
  </si>
  <si>
    <t>7. Total number of employees working on these functions</t>
  </si>
  <si>
    <t>Total entity employees headcount</t>
  </si>
  <si>
    <t>Agricultural assets</t>
  </si>
  <si>
    <t>Contributions recognised - capital &amp; contributed assets</t>
  </si>
  <si>
    <t>Surplus/(Deficit) after capital transfers &amp; contributions</t>
  </si>
  <si>
    <t>Other benefits and allowances</t>
  </si>
  <si>
    <t>Cell phone allowance</t>
  </si>
  <si>
    <t xml:space="preserve">Bulk purchases </t>
  </si>
  <si>
    <t>4. Previously described as 'bad or doubtful debts' - amounts shown should reflect the change in the provision for debt impairment</t>
  </si>
  <si>
    <t>5. All materials not part of 'bulk' e.g  road making materials, pipe, cable etc.</t>
  </si>
  <si>
    <t>3. Expenditure includes repairs &amp; maintenance of:</t>
  </si>
  <si>
    <t>1. Municipalities may choose to appropriate for capital expenditure for three years or for one year (if one year appropriation projected expenditure required for yr2 and yr3).</t>
  </si>
  <si>
    <t xml:space="preserve">2. Include capital component of PPP unitary payment. </t>
  </si>
  <si>
    <t>3. Include finance leases and PPP capital funding component of unitary payment</t>
  </si>
  <si>
    <t>4. Total Capital Funding must balance with Total Capital Expenditure</t>
  </si>
  <si>
    <t>1. Include 'Construction-work-in-progress' (disclosed separately in annual financial statements)</t>
  </si>
  <si>
    <t>2. Net assets must balance with Total Community Wealth/Equity</t>
  </si>
  <si>
    <t>2. Cash equivalents includes investments with maturities of 3 months or less</t>
  </si>
  <si>
    <t>1. The end balance of Cash/cash equivalents must reconcile to detail in Table SD6</t>
  </si>
  <si>
    <t>Yes</t>
  </si>
  <si>
    <t>No</t>
  </si>
  <si>
    <t>Type of Entities Range:</t>
  </si>
  <si>
    <t>Parent Municapality</t>
  </si>
  <si>
    <t>Consolidated Information</t>
  </si>
  <si>
    <t>MTREF Range:</t>
  </si>
  <si>
    <t>MTREF Linked:</t>
  </si>
  <si>
    <t>MTREF:</t>
  </si>
  <si>
    <t>Fin Year:</t>
  </si>
  <si>
    <t xml:space="preserve">Supporting Table SD1 </t>
  </si>
  <si>
    <t>Supporting Table SD2</t>
  </si>
  <si>
    <t>Supporting Table SD3</t>
  </si>
  <si>
    <t>Supporting Table SD4</t>
  </si>
  <si>
    <t>Supporting Table SD5</t>
  </si>
  <si>
    <t>Supporting Table SD6</t>
  </si>
  <si>
    <t>Supporting Table SD9</t>
  </si>
  <si>
    <t>Supporting Table SD10</t>
  </si>
  <si>
    <t>Supporting Table SD11</t>
  </si>
  <si>
    <t>Name link</t>
  </si>
  <si>
    <t>Name of Muni</t>
  </si>
  <si>
    <t>Choose name from list</t>
  </si>
  <si>
    <t>Set name on 'Instructions' sheet</t>
  </si>
  <si>
    <t>DC1 West Coast</t>
  </si>
  <si>
    <t>WC WESTERN CAPE</t>
  </si>
  <si>
    <t>DC10 Cacadu</t>
  </si>
  <si>
    <t>EC EASTERN CAPE</t>
  </si>
  <si>
    <t>DC12 Amathole</t>
  </si>
  <si>
    <t>DC13 Chris Hani</t>
  </si>
  <si>
    <t>DC15 O .R. Tambo</t>
  </si>
  <si>
    <t>DC16 Xhariep</t>
  </si>
  <si>
    <t>FS FREE STATE</t>
  </si>
  <si>
    <t>DC17 Motheo</t>
  </si>
  <si>
    <t>DC18 Lejweleputswa</t>
  </si>
  <si>
    <t>DC19 Thabo Mofutsanyana</t>
  </si>
  <si>
    <t>DC20 Fezile Dabi</t>
  </si>
  <si>
    <t>DC21 Ugu</t>
  </si>
  <si>
    <t>DC22 uMgungundlovu</t>
  </si>
  <si>
    <t>DC23 Uthukela</t>
  </si>
  <si>
    <t>DC24 Umzinyathi</t>
  </si>
  <si>
    <t>DC25 Amajuba</t>
  </si>
  <si>
    <t>DC26 Zululand</t>
  </si>
  <si>
    <t>DC27 Umkhanyakude</t>
  </si>
  <si>
    <t>DC28 uThungulu</t>
  </si>
  <si>
    <t>DC29 iLembe</t>
  </si>
  <si>
    <t>DC3 Overberg</t>
  </si>
  <si>
    <t>DC30 Gert Sibande</t>
  </si>
  <si>
    <t>MP MPUMALANGA</t>
  </si>
  <si>
    <t>DC31 Nkangala</t>
  </si>
  <si>
    <t>DC32 Ehlanzeni</t>
  </si>
  <si>
    <t>DC33 Mopani</t>
  </si>
  <si>
    <t>LP LIMPOPO</t>
  </si>
  <si>
    <t>DC34 Vhembe</t>
  </si>
  <si>
    <t>DC35 Capricorn</t>
  </si>
  <si>
    <t>DC36 Waterberg</t>
  </si>
  <si>
    <t>DC37 Bojanala Platinum</t>
  </si>
  <si>
    <t>NW NORTH WEST</t>
  </si>
  <si>
    <t>DC38 Ngaka Modiri Molema</t>
  </si>
  <si>
    <t>DC39 Dr Ruth Segomotsi Mompati</t>
  </si>
  <si>
    <t>DC4 Eden</t>
  </si>
  <si>
    <t>DC40 Dr Kenneth Kaunda</t>
  </si>
  <si>
    <t>DC42 Sedibeng</t>
  </si>
  <si>
    <t>GT GAUTENG</t>
  </si>
  <si>
    <t>DC43 Sisonke</t>
  </si>
  <si>
    <t>DC44 Alfred Nzo</t>
  </si>
  <si>
    <t>NC NORTHERN CAPE</t>
  </si>
  <si>
    <t>DC46 Metsweding</t>
  </si>
  <si>
    <t>DC47 Greater Sekhukhune</t>
  </si>
  <si>
    <t>DC48 West Rand</t>
  </si>
  <si>
    <t>DC5 Central Karoo</t>
  </si>
  <si>
    <t>DC6 Namakwa</t>
  </si>
  <si>
    <t>DC8 Siyanda</t>
  </si>
  <si>
    <t>DC9 Frances Baard</t>
  </si>
  <si>
    <t>EC000 Nelson Mandela Bay</t>
  </si>
  <si>
    <t>EC101 Camdeboo</t>
  </si>
  <si>
    <t>EC102 Blue Crane Route</t>
  </si>
  <si>
    <t>EC103 Ikwezi</t>
  </si>
  <si>
    <t>EC104 Makana</t>
  </si>
  <si>
    <t>EC105 Ndlambe</t>
  </si>
  <si>
    <t>EC106 Sundays River Valley</t>
  </si>
  <si>
    <t>EC107 Baviaans</t>
  </si>
  <si>
    <t>EC108 Kouga</t>
  </si>
  <si>
    <t>EC121 Mbhashe</t>
  </si>
  <si>
    <t>EC122 Mnquma</t>
  </si>
  <si>
    <t>EC123 Great Kei</t>
  </si>
  <si>
    <t>EC124 Amahlathi</t>
  </si>
  <si>
    <t>EC125 Buffalo City</t>
  </si>
  <si>
    <t>EC126 Ngqushwa</t>
  </si>
  <si>
    <t>EC127 Nkonkobe</t>
  </si>
  <si>
    <t>EC128 Nxuba</t>
  </si>
  <si>
    <t>EC131 Inxuba Yethemba</t>
  </si>
  <si>
    <t>EC132 Tsolwana</t>
  </si>
  <si>
    <t>EC133 Inkwanca</t>
  </si>
  <si>
    <t>EC134 Lukhanji</t>
  </si>
  <si>
    <t>EC135 Intsika Yethu</t>
  </si>
  <si>
    <t>EC136 Emalahleni (Ec)</t>
  </si>
  <si>
    <t>EC137 Engcobo</t>
  </si>
  <si>
    <t>EC138 Sakhisizwe</t>
  </si>
  <si>
    <t>EC141 Elundini</t>
  </si>
  <si>
    <t>EC142 Senqu</t>
  </si>
  <si>
    <t>EC143 Maletswai</t>
  </si>
  <si>
    <t>EC144 Gariep</t>
  </si>
  <si>
    <t>EC151 Mbizana</t>
  </si>
  <si>
    <t>EC152 Ntabankulu</t>
  </si>
  <si>
    <t>EC153 Ngquza Hills</t>
  </si>
  <si>
    <t>EC154 Port St Johns</t>
  </si>
  <si>
    <t>EC155 Nyandeni</t>
  </si>
  <si>
    <t>EC156 Mhlontlo</t>
  </si>
  <si>
    <t>EC157 King Sabata Dalindyebo</t>
  </si>
  <si>
    <t>EC441 Matatiele</t>
  </si>
  <si>
    <t>EC442 Umzimvubu</t>
  </si>
  <si>
    <t>FS161 Letsemeng</t>
  </si>
  <si>
    <t>FS162 Kopanong</t>
  </si>
  <si>
    <t>FS163 Mohokare</t>
  </si>
  <si>
    <t>FS171 Naledi (Fs)</t>
  </si>
  <si>
    <t>FS172 Mangaung</t>
  </si>
  <si>
    <t>FS173 Mantsopa</t>
  </si>
  <si>
    <t>FS181 Masilonyana</t>
  </si>
  <si>
    <t>FS182 Tokologo</t>
  </si>
  <si>
    <t>FS183 Tswelopele</t>
  </si>
  <si>
    <t>FS184 Matjhabeng</t>
  </si>
  <si>
    <t>FS185 Nala</t>
  </si>
  <si>
    <t>FS191 Setsoto</t>
  </si>
  <si>
    <t>FS192 Dihlabeng</t>
  </si>
  <si>
    <t>FS193 Nketoana</t>
  </si>
  <si>
    <t>FS194 Maluti-a-Phofung</t>
  </si>
  <si>
    <t>FS195 Phumelela</t>
  </si>
  <si>
    <t>FS201 Moqhaka</t>
  </si>
  <si>
    <t>FS203 Ngwathe</t>
  </si>
  <si>
    <t>FS204 Metsimaholo</t>
  </si>
  <si>
    <t>FS205 Mafube</t>
  </si>
  <si>
    <t>GT000 Ekurhuleni Metro</t>
  </si>
  <si>
    <t>GT001 City Of Johannesburg</t>
  </si>
  <si>
    <t>GT002 City Of Tshwane</t>
  </si>
  <si>
    <t>GT421 Emfuleni</t>
  </si>
  <si>
    <t>GT422 Midvaal</t>
  </si>
  <si>
    <t>GT423 Lesedi</t>
  </si>
  <si>
    <t>GT461 Nokeng Tsa Taemane</t>
  </si>
  <si>
    <t>GT462 Kungwini</t>
  </si>
  <si>
    <t>GT481 Mogale City</t>
  </si>
  <si>
    <t>GT482 Randfontein</t>
  </si>
  <si>
    <t>GT483 Westonaria</t>
  </si>
  <si>
    <t>KZN000 eThekwini</t>
  </si>
  <si>
    <t>KZN211 Vulamehlo</t>
  </si>
  <si>
    <t>KZN212 Umdoni</t>
  </si>
  <si>
    <t>KZN213 Umzumbe</t>
  </si>
  <si>
    <t>KZN214 uMuziwabantu</t>
  </si>
  <si>
    <t>KZN216 Hibiscus Coast</t>
  </si>
  <si>
    <t>KZN221 uMshwathi</t>
  </si>
  <si>
    <t>KZN222 uMngeni</t>
  </si>
  <si>
    <t>KZN223 Mpofana</t>
  </si>
  <si>
    <t>KZN224 Impendle</t>
  </si>
  <si>
    <t>KZN225 Msunduzi</t>
  </si>
  <si>
    <t>KZN226 Mkhambathini</t>
  </si>
  <si>
    <t>KZN227 Richmond</t>
  </si>
  <si>
    <t>KZN232 Emnambithi/Ladysmith</t>
  </si>
  <si>
    <t>KZN233 Indaka</t>
  </si>
  <si>
    <t>KZN234 Umtshezi</t>
  </si>
  <si>
    <t>KZN235 Okhahlamba</t>
  </si>
  <si>
    <t>KZN236 Imbabazane</t>
  </si>
  <si>
    <t>KZN241 Endumeni</t>
  </si>
  <si>
    <t>KZN242 Nquthu</t>
  </si>
  <si>
    <t>KZN244 Msinga</t>
  </si>
  <si>
    <t>KZN245 Umvoti</t>
  </si>
  <si>
    <t>KZN252 Newcastle</t>
  </si>
  <si>
    <t>KZN253 eMadlangeni</t>
  </si>
  <si>
    <t>KZN254 Dannhauser</t>
  </si>
  <si>
    <t>KZN261 eDumbe</t>
  </si>
  <si>
    <t>KZN262 uPhongolo</t>
  </si>
  <si>
    <t>KZN263 Abaqulusi</t>
  </si>
  <si>
    <t>KZN265 Nongoma</t>
  </si>
  <si>
    <t>KZN266 Ulundi</t>
  </si>
  <si>
    <t>KZN271 Umhlabuyalingana</t>
  </si>
  <si>
    <t>KZN272 Jozini</t>
  </si>
  <si>
    <t>KZN274 Hlabisa</t>
  </si>
  <si>
    <t>KZN275 Mtubatuba</t>
  </si>
  <si>
    <t>KZN282 uMhlathuze</t>
  </si>
  <si>
    <t>KZN283 Ntambanana</t>
  </si>
  <si>
    <t>KZN285 Mthonjaneni</t>
  </si>
  <si>
    <t>KZN286 Nkandla</t>
  </si>
  <si>
    <t>KZN291 Mandeni</t>
  </si>
  <si>
    <t>KZN292 KwaDukuza</t>
  </si>
  <si>
    <t>KZN293 Ndwedwe</t>
  </si>
  <si>
    <t>KZN294 Maphumulo</t>
  </si>
  <si>
    <t>KZN431 Ingwe</t>
  </si>
  <si>
    <t>KZN432 Kwa Sani</t>
  </si>
  <si>
    <t>KZN433 Greater Kokstad</t>
  </si>
  <si>
    <t>KZN434 Ubuhlebezwe</t>
  </si>
  <si>
    <t>KZN435 Umzimkhulu</t>
  </si>
  <si>
    <t>LIM331 Greater Giyani</t>
  </si>
  <si>
    <t>LIM332 Greater Letaba</t>
  </si>
  <si>
    <t>LIM333 Greater Tzaneen</t>
  </si>
  <si>
    <t>LIM334 Ba-Phalaborwa</t>
  </si>
  <si>
    <t>LIM335 Maruleng</t>
  </si>
  <si>
    <t>LIM341 Musina</t>
  </si>
  <si>
    <t>LIM342 Mutale</t>
  </si>
  <si>
    <t>LIM343 Thulamela</t>
  </si>
  <si>
    <t>LIM344 Makhado</t>
  </si>
  <si>
    <t>LIM351 Blouberg</t>
  </si>
  <si>
    <t>LIM352 Aganang</t>
  </si>
  <si>
    <t>LIM353 Molemole</t>
  </si>
  <si>
    <t>LIM354 Polokwane</t>
  </si>
  <si>
    <t>LIM355 Lepelle-Nkumpi</t>
  </si>
  <si>
    <t>LIM361 Thabazimbi</t>
  </si>
  <si>
    <t>LIM362 Lephalale</t>
  </si>
  <si>
    <t>LIM364 Mookgopong</t>
  </si>
  <si>
    <t>LIM365 Modimolle</t>
  </si>
  <si>
    <t>LIM366 Bela Bela</t>
  </si>
  <si>
    <t>LIM367 Mogalakwena</t>
  </si>
  <si>
    <t>LIM472 Elias Motsoaledi</t>
  </si>
  <si>
    <t>LIM474 Fetakgomo</t>
  </si>
  <si>
    <t>LIM475 Greater Tubatse</t>
  </si>
  <si>
    <t>MP301 Albert Luthuli</t>
  </si>
  <si>
    <t>MP302 Msukaligwa</t>
  </si>
  <si>
    <t>MP303 Mkhondo</t>
  </si>
  <si>
    <t>MP305 Lekwa</t>
  </si>
  <si>
    <t>MP306 Dipaleseng</t>
  </si>
  <si>
    <t>MP307 Govan Mbeki</t>
  </si>
  <si>
    <t>MP313 Steve Tshwete</t>
  </si>
  <si>
    <t>MP314 Emakhazeni</t>
  </si>
  <si>
    <t>MP315 Thembisile</t>
  </si>
  <si>
    <t>MP316 Dr J.S. Moroka</t>
  </si>
  <si>
    <t>MP321 Thaba Chweu</t>
  </si>
  <si>
    <t>MP322 Mbombela</t>
  </si>
  <si>
    <t>MP323 Umjindi</t>
  </si>
  <si>
    <t>MP324 Nkomazi</t>
  </si>
  <si>
    <t>MP325 Bushbuckridge</t>
  </si>
  <si>
    <t>NC061 Richtersveld</t>
  </si>
  <si>
    <t>NC062 Nama Khoi</t>
  </si>
  <si>
    <t>NC064 Kamiesberg</t>
  </si>
  <si>
    <t>NC065 Hantam</t>
  </si>
  <si>
    <t>NC066 Karoo Hoogland</t>
  </si>
  <si>
    <t>NC067 Khai-Ma</t>
  </si>
  <si>
    <t>NC071 Ubuntu</t>
  </si>
  <si>
    <t>NC072 Umsobomvu</t>
  </si>
  <si>
    <t>NC073 Emthanjeni</t>
  </si>
  <si>
    <t>NC074 Kareeberg</t>
  </si>
  <si>
    <t>NC075 Renosterberg</t>
  </si>
  <si>
    <t>NC076 Thembelihle</t>
  </si>
  <si>
    <t>NC077 Siyathemba</t>
  </si>
  <si>
    <t>NC078 Siyancuma</t>
  </si>
  <si>
    <t>NC081 Mier</t>
  </si>
  <si>
    <t>NC082 !Kai! Garib</t>
  </si>
  <si>
    <t>NC083 //Khara Hais</t>
  </si>
  <si>
    <t>NC084 !Kheis</t>
  </si>
  <si>
    <t>NC085 Tsantsabane</t>
  </si>
  <si>
    <t>NC086 Kgatelopele</t>
  </si>
  <si>
    <t>NC091 Sol Plaatje</t>
  </si>
  <si>
    <t>NC092 Dikgatlong</t>
  </si>
  <si>
    <t>NC093 Magareng</t>
  </si>
  <si>
    <t>NC094 Phokwane</t>
  </si>
  <si>
    <t>NC452 Ga-Segonyana</t>
  </si>
  <si>
    <t>NC453 Gamagara</t>
  </si>
  <si>
    <t>NW371 Moretele</t>
  </si>
  <si>
    <t>NW372 Madibeng</t>
  </si>
  <si>
    <t>NW373 Rustenburg</t>
  </si>
  <si>
    <t>NW374 Kgetlengrivier</t>
  </si>
  <si>
    <t>NW375 Moses Kotane</t>
  </si>
  <si>
    <t>NW381 Ratlou</t>
  </si>
  <si>
    <t>NW382 Tswaing</t>
  </si>
  <si>
    <t>NW383 Mafikeng</t>
  </si>
  <si>
    <t>NW384 Ditsobotla</t>
  </si>
  <si>
    <t>NW385 Ramotshere Moiloa</t>
  </si>
  <si>
    <t>NW391 Kagisano</t>
  </si>
  <si>
    <t>NW392 Naledi (Nw)</t>
  </si>
  <si>
    <t>NW393 Mamusa</t>
  </si>
  <si>
    <t>NW394 Greater Taung</t>
  </si>
  <si>
    <t>NW395 Molopo</t>
  </si>
  <si>
    <t>NW396 Lekwa-Teemane</t>
  </si>
  <si>
    <t>NW401 Ventersdorp</t>
  </si>
  <si>
    <t>NW402 Tlokwe</t>
  </si>
  <si>
    <t>NW403 City Of Matlosana</t>
  </si>
  <si>
    <t>NW404 Maquassi Hills</t>
  </si>
  <si>
    <t>WC011 Matzikama</t>
  </si>
  <si>
    <t>WC012 Cederberg</t>
  </si>
  <si>
    <t>WC013 Bergrivier</t>
  </si>
  <si>
    <t>WC014 Saldanha Bay</t>
  </si>
  <si>
    <t>WC015 Swartland</t>
  </si>
  <si>
    <t>WC022 Witzenberg</t>
  </si>
  <si>
    <t>WC023 Drakenstein</t>
  </si>
  <si>
    <t>WC024 Stellenbosch</t>
  </si>
  <si>
    <t>WC025 Breede Valley</t>
  </si>
  <si>
    <t>WC031 Theewaterskloof</t>
  </si>
  <si>
    <t>WC032 Overstrand</t>
  </si>
  <si>
    <t>WC033 Cape Agulhas</t>
  </si>
  <si>
    <t>WC034 Swellendam</t>
  </si>
  <si>
    <t>WC041 Kannaland</t>
  </si>
  <si>
    <t>WC042 Hessequa</t>
  </si>
  <si>
    <t>WC043 Mossel Bay</t>
  </si>
  <si>
    <t>WC044 George</t>
  </si>
  <si>
    <t>WC045 Oudtshoorn</t>
  </si>
  <si>
    <t>WC047 Bitou</t>
  </si>
  <si>
    <t>WC048 Knysna</t>
  </si>
  <si>
    <t>WC051 Laingsburg</t>
  </si>
  <si>
    <t>WC052 Prince Albert</t>
  </si>
  <si>
    <t>WC053 Beaufort West</t>
  </si>
  <si>
    <t>Transfers recognised - operational</t>
  </si>
  <si>
    <t>Borrowing/Capital expenditure excl. transfers and grants and contributions</t>
  </si>
  <si>
    <t>% Volume (Total units purchased + generated less total units sold)/Total units purchased + generated</t>
  </si>
  <si>
    <t>% Volume (Total units purchased + own source less total units sold)/Total units purchased + own source</t>
  </si>
  <si>
    <t>Transfers and Grants</t>
  </si>
  <si>
    <t>Increase (decrease) in consumer deposits</t>
  </si>
  <si>
    <t>Capital multi-year expenditure sub-total</t>
  </si>
  <si>
    <t>Service charges - refuse revenue</t>
  </si>
  <si>
    <t>Contributions recognised - capital</t>
  </si>
  <si>
    <t>MEB5a</t>
  </si>
  <si>
    <t>MEB5b</t>
  </si>
  <si>
    <t>MEB9a</t>
  </si>
  <si>
    <t>MEB9b</t>
  </si>
  <si>
    <t>MEB9c</t>
  </si>
  <si>
    <t>MEB12</t>
  </si>
  <si>
    <t>MEB13</t>
  </si>
  <si>
    <t>Supporting Table SD7a</t>
  </si>
  <si>
    <t>Supporting Table SD7b</t>
  </si>
  <si>
    <t>Supporting Table SD7c</t>
  </si>
  <si>
    <t>Supporting Table SD8</t>
  </si>
  <si>
    <t>Capital expenditure on new assets by asset category</t>
  </si>
  <si>
    <t>Total capital expenditure on new assets</t>
  </si>
  <si>
    <t>Capital expenditure on renewal of existing assets by asset category</t>
  </si>
  <si>
    <t>Total capital expenditure on renewal of existing assets</t>
  </si>
  <si>
    <t>Expenditure on repairs and maintenance by asset category</t>
  </si>
  <si>
    <t>Total expenditure on repairs and maintenance</t>
  </si>
  <si>
    <t>1. Total Capital Expenditure on new assets by asset category must reconcile to total capital expenditure shown in Capital budget lees the amount shown for Total Capital Expenditure on renewal of existing assets</t>
  </si>
  <si>
    <t>1. Total Capital Expenditure on renewal of existing assets by asset category must reconcile to total capital expenditure shown in capital budget less Total Capital Expenditure on new assets</t>
  </si>
  <si>
    <t>Municipal entity employees</t>
  </si>
  <si>
    <t>CEO and Senior Managers</t>
  </si>
  <si>
    <t>Total Personnel Numbers</t>
  </si>
  <si>
    <t>IDP Goal Code  3</t>
  </si>
  <si>
    <t xml:space="preserve">Program/Project description
</t>
  </si>
  <si>
    <r>
      <t xml:space="preserve">Asset Class  
</t>
    </r>
    <r>
      <rPr>
        <sz val="8"/>
        <rFont val="Arial Narrow"/>
        <family val="2"/>
      </rPr>
      <t>2</t>
    </r>
  </si>
  <si>
    <r>
      <t xml:space="preserve"> Asset Sub-Class 
</t>
    </r>
    <r>
      <rPr>
        <sz val="8"/>
        <rFont val="Arial Narrow"/>
        <family val="2"/>
      </rPr>
      <t>2</t>
    </r>
  </si>
  <si>
    <r>
      <t xml:space="preserve">Monetary value of agreement 
</t>
    </r>
    <r>
      <rPr>
        <sz val="8"/>
        <rFont val="Arial Narrow"/>
        <family val="2"/>
      </rPr>
      <t>2</t>
    </r>
  </si>
  <si>
    <r>
      <t xml:space="preserve">Period of agreement 
</t>
    </r>
    <r>
      <rPr>
        <sz val="8"/>
        <rFont val="Arial Narrow"/>
        <family val="2"/>
      </rPr>
      <t>1</t>
    </r>
  </si>
  <si>
    <t>DC14 Joe Gqabi</t>
  </si>
  <si>
    <t>DC2 Cape Winelands</t>
  </si>
  <si>
    <t>KZN KWAZULU-NATAL</t>
  </si>
  <si>
    <t>DC45 John Taolo Gaetsewe</t>
  </si>
  <si>
    <t>DC7 Pixley Ka Seme (NC)</t>
  </si>
  <si>
    <t>EC109 Kou-Kamma</t>
  </si>
  <si>
    <t>GT484 Merafong City</t>
  </si>
  <si>
    <t>KZN215 Ezinqoleni</t>
  </si>
  <si>
    <t>KZN273 The Big 5 False Bay</t>
  </si>
  <si>
    <t>KZN281 Mfolozi</t>
  </si>
  <si>
    <t>KZN284 uMlalazi</t>
  </si>
  <si>
    <t>LIM471 Ephraim Mogale</t>
  </si>
  <si>
    <t>LIM473 Makhuduthamaga</t>
  </si>
  <si>
    <t>MP304 Pixley Ka Seme (MP)</t>
  </si>
  <si>
    <t>MP311 Victor Khanye</t>
  </si>
  <si>
    <t>MP312 Emalahleni (MP)</t>
  </si>
  <si>
    <t>NC451 Joe Morolong</t>
  </si>
  <si>
    <t>WC000 City of Cape Town</t>
  </si>
  <si>
    <t>WC026 Langeberg</t>
  </si>
  <si>
    <t>Greater Tzaneen Economic Development Agency (GTEDA)</t>
  </si>
  <si>
    <t>CEO</t>
  </si>
  <si>
    <t>Managers</t>
  </si>
  <si>
    <t>Admin Staff</t>
  </si>
  <si>
    <t>IDC</t>
  </si>
  <si>
    <t>IT services</t>
  </si>
  <si>
    <t>Security Services</t>
  </si>
  <si>
    <t>Cleaning</t>
  </si>
  <si>
    <t>Rent Offices</t>
  </si>
  <si>
    <t>Internal Auditing</t>
  </si>
  <si>
    <t>30/06/2014</t>
  </si>
  <si>
    <t>Facilitation Fee</t>
  </si>
  <si>
    <t>GTM</t>
  </si>
  <si>
    <t>OBJECTIVE 3: Ensuring financial viability and management</t>
  </si>
  <si>
    <t>OBJECTIVE 4: Economic Development</t>
  </si>
  <si>
    <t>OBJECTIVE 5: Research and innovation</t>
  </si>
  <si>
    <t>N/A</t>
  </si>
  <si>
    <t>OBJECTIVE 1: Ensuring good Governance</t>
  </si>
  <si>
    <t>#Approved concept document</t>
  </si>
  <si>
    <t>#Facilitation and social facilitation reports</t>
  </si>
  <si>
    <t>#Signed MOUs and legal agreements</t>
  </si>
  <si>
    <t>#Services facilitation</t>
  </si>
  <si>
    <t>#Procurement plans and reports</t>
  </si>
  <si>
    <t>#Progress reports( monthly, quarterly and annually)</t>
  </si>
  <si>
    <t>#Finalised feasibility report</t>
  </si>
  <si>
    <t>Approved project implementation plan and project process plan</t>
  </si>
  <si>
    <t>#approved governance charters</t>
  </si>
  <si>
    <t># induction reports</t>
  </si>
  <si>
    <t># Board packs dispatched</t>
  </si>
  <si>
    <t>#Minutes signed</t>
  </si>
  <si>
    <t>#Completed risk register</t>
  </si>
  <si>
    <t>#Annual report</t>
  </si>
  <si>
    <t># Internal audit report</t>
  </si>
  <si>
    <t>OBJECTIVE 2: Institutional Development(HRM)</t>
  </si>
  <si>
    <t>Percentage</t>
  </si>
  <si>
    <t>%Organogram filled</t>
  </si>
  <si>
    <t>% Of officials trained</t>
  </si>
  <si>
    <t>Finalised performance management sytem and policies</t>
  </si>
  <si>
    <t>Audited annual financial statement</t>
  </si>
  <si>
    <t>Approved 3 year budget</t>
  </si>
  <si>
    <t># Monthly financial report</t>
  </si>
  <si>
    <t>R value of revenue generated</t>
  </si>
  <si>
    <t>R-value</t>
  </si>
  <si>
    <t>% Compliance with SCM and GRAP</t>
  </si>
  <si>
    <t>Furniture and Fittings</t>
  </si>
  <si>
    <t>GTEDA</t>
  </si>
  <si>
    <t>Office Equipment</t>
  </si>
  <si>
    <t>Other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</si>
</sst>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 #,##0.00_ ;_ * \-#,##0.00_ ;_ * &quot;-&quot;??_ ;_ @_ "/>
    <numFmt numFmtId="164" formatCode="_ * #,##0_ ;_ * \-#,##0_ ;_ * &quot;-&quot;??_ ;_ @_ "/>
    <numFmt numFmtId="165" formatCode="_ * #,##0.0_ ;_ * \-#,##0.0_ ;_ * &quot;-&quot;??_ ;_ @_ "/>
    <numFmt numFmtId="166" formatCode="#,###,;[Red]\(#,###,\)"/>
    <numFmt numFmtId="167" formatCode="0.0%"/>
    <numFmt numFmtId="168" formatCode="#,###,;\(#,###,\)"/>
    <numFmt numFmtId="169" formatCode="#,###,,;\(#,###,,\)"/>
    <numFmt numFmtId="170" formatCode="_ * #,##0.0000_ ;_ * \-#,##0.0000_ ;_ * &quot;-&quot;??_ ;_ @_ "/>
    <numFmt numFmtId="171" formatCode="_(* #,##0,_);_(* \(#,##0,\);_(* &quot;–&quot;?_);_(@_)"/>
    <numFmt numFmtId="172" formatCode="_(* #,##0_);_(* \(#,##0\);_(* &quot;–&quot;?_);_(@_)"/>
    <numFmt numFmtId="173" formatCode="_(* #,##0.0%_);_(* \(#,##0.0%\);_(* &quot;–&quot;?_);_(@_)"/>
  </numFmts>
  <fonts count="40" x14ac:knownFonts="1">
    <font>
      <sz val="10"/>
      <name val="Arial"/>
    </font>
    <font>
      <sz val="10"/>
      <name val="Arial"/>
      <family val="2"/>
    </font>
    <font>
      <sz val="8"/>
      <name val="Arial"/>
      <family val="2"/>
    </font>
    <font>
      <b/>
      <sz val="8"/>
      <name val="Arial"/>
      <family val="2"/>
    </font>
    <font>
      <b/>
      <u/>
      <sz val="8"/>
      <name val="Arial"/>
      <family val="2"/>
    </font>
    <font>
      <b/>
      <sz val="10"/>
      <name val="Arial Narrow"/>
      <family val="2"/>
    </font>
    <font>
      <sz val="8"/>
      <name val="Arial Narrow"/>
      <family val="2"/>
    </font>
    <font>
      <b/>
      <sz val="8"/>
      <name val="Arial Narrow"/>
      <family val="2"/>
    </font>
    <font>
      <b/>
      <i/>
      <sz val="8"/>
      <name val="Arial Narrow"/>
      <family val="2"/>
    </font>
    <font>
      <b/>
      <u/>
      <sz val="8"/>
      <name val="Arial Narrow"/>
      <family val="2"/>
    </font>
    <font>
      <i/>
      <sz val="8"/>
      <name val="Arial Narrow"/>
      <family val="2"/>
    </font>
    <font>
      <i/>
      <u/>
      <sz val="8"/>
      <name val="Arial Narrow"/>
      <family val="2"/>
    </font>
    <font>
      <u/>
      <sz val="8"/>
      <name val="Arial Narrow"/>
      <family val="2"/>
    </font>
    <font>
      <sz val="10"/>
      <color indexed="9"/>
      <name val="Arial"/>
      <family val="2"/>
    </font>
    <font>
      <b/>
      <sz val="8"/>
      <color indexed="9"/>
      <name val="Arial"/>
      <family val="2"/>
    </font>
    <font>
      <i/>
      <sz val="8"/>
      <name val="Arial"/>
      <family val="2"/>
    </font>
    <font>
      <b/>
      <sz val="14"/>
      <color indexed="10"/>
      <name val="Arial"/>
      <family val="2"/>
    </font>
    <font>
      <sz val="10"/>
      <name val="Arial Narrow"/>
      <family val="2"/>
    </font>
    <font>
      <sz val="8"/>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sz val="8"/>
      <color indexed="8"/>
      <name val="Arial"/>
      <family val="2"/>
    </font>
    <font>
      <sz val="8"/>
      <name val="Arial"/>
      <family val="2"/>
    </font>
    <font>
      <sz val="10"/>
      <color rgb="FF00000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5"/>
        <bgColor indexed="64"/>
      </patternFill>
    </fill>
    <fill>
      <patternFill patternType="solid">
        <fgColor indexed="43"/>
        <bgColor indexed="64"/>
      </patternFill>
    </fill>
    <fill>
      <patternFill patternType="solid">
        <fgColor indexed="48"/>
        <bgColor indexed="64"/>
      </patternFill>
    </fill>
    <fill>
      <patternFill patternType="solid">
        <fgColor indexed="15"/>
        <bgColor indexed="64"/>
      </patternFill>
    </fill>
    <fill>
      <patternFill patternType="solid">
        <fgColor indexed="42"/>
        <bgColor indexed="64"/>
      </patternFill>
    </fill>
    <fill>
      <patternFill patternType="solid">
        <fgColor theme="0" tint="-0.14999847407452621"/>
        <bgColor indexed="64"/>
      </patternFill>
    </fill>
  </fills>
  <borders count="7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top/>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style="hair">
        <color indexed="64"/>
      </top>
      <bottom/>
      <diagonal/>
    </border>
    <border>
      <left/>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style="thin">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bottom style="hair">
        <color indexed="64"/>
      </bottom>
      <diagonal/>
    </border>
  </borders>
  <cellStyleXfs count="45">
    <xf numFmtId="0" fontId="0"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5" borderId="0" applyNumberFormat="0" applyBorder="0" applyAlignment="0" applyProtection="0"/>
    <xf numFmtId="0" fontId="19" fillId="8" borderId="0" applyNumberFormat="0" applyBorder="0" applyAlignment="0" applyProtection="0"/>
    <xf numFmtId="0" fontId="19" fillId="11" borderId="0" applyNumberFormat="0" applyBorder="0" applyAlignment="0" applyProtection="0"/>
    <xf numFmtId="0" fontId="20" fillId="12"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9" borderId="0" applyNumberFormat="0" applyBorder="0" applyAlignment="0" applyProtection="0"/>
    <xf numFmtId="0" fontId="21" fillId="3" borderId="0" applyNumberFormat="0" applyBorder="0" applyAlignment="0" applyProtection="0"/>
    <xf numFmtId="0" fontId="22" fillId="20" borderId="1" applyNumberFormat="0" applyAlignment="0" applyProtection="0"/>
    <xf numFmtId="0" fontId="23" fillId="21" borderId="2" applyNumberFormat="0" applyAlignment="0" applyProtection="0"/>
    <xf numFmtId="43" fontId="1" fillId="0" borderId="0" applyFont="0" applyFill="0" applyBorder="0" applyAlignment="0" applyProtection="0"/>
    <xf numFmtId="0" fontId="24" fillId="0" borderId="0" applyNumberFormat="0" applyFill="0" applyBorder="0" applyAlignment="0" applyProtection="0"/>
    <xf numFmtId="0" fontId="25" fillId="4" borderId="0" applyNumberFormat="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29" fillId="7" borderId="1" applyNumberFormat="0" applyAlignment="0" applyProtection="0"/>
    <xf numFmtId="0" fontId="30" fillId="0" borderId="6" applyNumberFormat="0" applyFill="0" applyAlignment="0" applyProtection="0"/>
    <xf numFmtId="0" fontId="31" fillId="22" borderId="0" applyNumberFormat="0" applyBorder="0" applyAlignment="0" applyProtection="0"/>
    <xf numFmtId="0" fontId="17" fillId="0" borderId="0"/>
    <xf numFmtId="0" fontId="1" fillId="23" borderId="7" applyNumberFormat="0" applyFont="0" applyAlignment="0" applyProtection="0"/>
    <xf numFmtId="0" fontId="32" fillId="20" borderId="8" applyNumberFormat="0" applyAlignment="0" applyProtection="0"/>
    <xf numFmtId="9" fontId="1" fillId="0" borderId="0" applyFont="0" applyFill="0" applyBorder="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cellStyleXfs>
  <cellXfs count="677">
    <xf numFmtId="0" fontId="0" fillId="0" borderId="0" xfId="0"/>
    <xf numFmtId="0" fontId="2" fillId="0" borderId="0" xfId="0" applyFont="1"/>
    <xf numFmtId="0" fontId="2" fillId="0" borderId="10" xfId="0" applyFont="1" applyBorder="1" applyAlignment="1">
      <alignment horizontal="center"/>
    </xf>
    <xf numFmtId="0" fontId="2" fillId="0" borderId="0" xfId="0" applyFont="1" applyBorder="1" applyAlignment="1">
      <alignment horizontal="center"/>
    </xf>
    <xf numFmtId="0" fontId="2" fillId="0" borderId="0" xfId="0" applyFont="1" applyBorder="1"/>
    <xf numFmtId="0" fontId="4" fillId="0" borderId="0" xfId="0" applyFont="1" applyBorder="1"/>
    <xf numFmtId="0" fontId="2" fillId="0" borderId="0" xfId="0" applyFont="1" applyAlignment="1">
      <alignment horizontal="center"/>
    </xf>
    <xf numFmtId="0" fontId="2" fillId="0" borderId="11" xfId="0" applyFont="1" applyBorder="1"/>
    <xf numFmtId="0" fontId="2" fillId="0" borderId="12" xfId="0" applyFont="1" applyBorder="1"/>
    <xf numFmtId="0" fontId="2" fillId="0" borderId="13" xfId="0" applyFont="1" applyBorder="1"/>
    <xf numFmtId="0" fontId="2" fillId="0" borderId="14" xfId="0" applyFont="1" applyBorder="1" applyAlignment="1">
      <alignment horizontal="center"/>
    </xf>
    <xf numFmtId="0" fontId="2" fillId="0" borderId="11" xfId="0" applyFont="1" applyBorder="1" applyAlignment="1">
      <alignment horizontal="center"/>
    </xf>
    <xf numFmtId="0" fontId="2" fillId="0" borderId="15" xfId="0" applyFont="1" applyBorder="1" applyAlignment="1">
      <alignment horizontal="center"/>
    </xf>
    <xf numFmtId="0" fontId="2" fillId="0" borderId="12" xfId="0" applyFont="1" applyBorder="1" applyAlignment="1">
      <alignment horizontal="center"/>
    </xf>
    <xf numFmtId="0" fontId="2" fillId="0" borderId="16" xfId="0" applyFont="1" applyBorder="1" applyAlignment="1">
      <alignment horizontal="center"/>
    </xf>
    <xf numFmtId="0" fontId="2" fillId="0" borderId="11" xfId="0" quotePrefix="1" applyFont="1" applyBorder="1"/>
    <xf numFmtId="0" fontId="2" fillId="0" borderId="0" xfId="0" quotePrefix="1" applyFont="1" applyBorder="1"/>
    <xf numFmtId="0" fontId="3" fillId="24" borderId="17" xfId="0" applyFont="1" applyFill="1" applyBorder="1" applyAlignment="1">
      <alignment horizontal="center"/>
    </xf>
    <xf numFmtId="0" fontId="2" fillId="0" borderId="18" xfId="0" applyFont="1" applyBorder="1" applyAlignment="1">
      <alignment horizontal="center"/>
    </xf>
    <xf numFmtId="0" fontId="10" fillId="0" borderId="0" xfId="0" applyFont="1" applyBorder="1" applyAlignment="1">
      <alignment horizontal="left" vertical="top" wrapText="1"/>
    </xf>
    <xf numFmtId="0" fontId="6" fillId="0" borderId="0" xfId="0" applyFont="1"/>
    <xf numFmtId="0" fontId="7" fillId="0" borderId="19" xfId="0" applyFont="1" applyFill="1" applyBorder="1" applyAlignment="1">
      <alignment horizontal="center" vertical="center" wrapText="1"/>
    </xf>
    <xf numFmtId="0" fontId="9" fillId="0" borderId="11" xfId="0" applyFont="1" applyBorder="1"/>
    <xf numFmtId="0" fontId="7" fillId="0" borderId="10" xfId="0" applyFont="1" applyBorder="1" applyAlignment="1">
      <alignment horizontal="center"/>
    </xf>
    <xf numFmtId="0" fontId="6" fillId="0" borderId="11" xfId="0" applyFont="1" applyBorder="1" applyAlignment="1">
      <alignment horizontal="left" indent="1"/>
    </xf>
    <xf numFmtId="0" fontId="6" fillId="0" borderId="11" xfId="0" applyFont="1" applyBorder="1"/>
    <xf numFmtId="171" fontId="6" fillId="0" borderId="0" xfId="0" applyNumberFormat="1" applyFont="1" applyBorder="1"/>
    <xf numFmtId="171" fontId="6" fillId="0" borderId="20" xfId="0" applyNumberFormat="1" applyFont="1" applyBorder="1"/>
    <xf numFmtId="171" fontId="6" fillId="0" borderId="21" xfId="0" applyNumberFormat="1" applyFont="1" applyBorder="1"/>
    <xf numFmtId="171" fontId="7" fillId="0" borderId="0" xfId="0" applyNumberFormat="1" applyFont="1" applyBorder="1"/>
    <xf numFmtId="171" fontId="7" fillId="0" borderId="20" xfId="0" applyNumberFormat="1" applyFont="1" applyBorder="1"/>
    <xf numFmtId="171" fontId="7" fillId="0" borderId="21" xfId="0" applyNumberFormat="1" applyFont="1" applyBorder="1"/>
    <xf numFmtId="0" fontId="7" fillId="0" borderId="22" xfId="0" applyFont="1" applyBorder="1"/>
    <xf numFmtId="171" fontId="7" fillId="0" borderId="23" xfId="0" applyNumberFormat="1" applyFont="1" applyBorder="1"/>
    <xf numFmtId="171" fontId="7" fillId="0" borderId="24" xfId="0" applyNumberFormat="1" applyFont="1" applyBorder="1"/>
    <xf numFmtId="0" fontId="11" fillId="0" borderId="0" xfId="0" applyFont="1" applyBorder="1"/>
    <xf numFmtId="0" fontId="6" fillId="0" borderId="0" xfId="0" applyFont="1" applyBorder="1" applyAlignment="1">
      <alignment horizontal="center"/>
    </xf>
    <xf numFmtId="0" fontId="10" fillId="0" borderId="0" xfId="0" quotePrefix="1" applyFont="1" applyBorder="1"/>
    <xf numFmtId="0" fontId="7" fillId="0" borderId="0" xfId="0" applyFont="1" applyBorder="1"/>
    <xf numFmtId="168" fontId="7" fillId="0" borderId="0" xfId="0" applyNumberFormat="1" applyFont="1" applyBorder="1"/>
    <xf numFmtId="0" fontId="10" fillId="0" borderId="0" xfId="0" applyFont="1" applyBorder="1" applyAlignment="1">
      <alignment horizontal="center"/>
    </xf>
    <xf numFmtId="0" fontId="10" fillId="0" borderId="0" xfId="0" applyFont="1" applyBorder="1" applyAlignment="1">
      <alignment horizontal="right"/>
    </xf>
    <xf numFmtId="0" fontId="6" fillId="0" borderId="0" xfId="0" applyFont="1" applyBorder="1"/>
    <xf numFmtId="0" fontId="6" fillId="0" borderId="0" xfId="0" applyFont="1" applyAlignment="1">
      <alignment horizontal="center"/>
    </xf>
    <xf numFmtId="171" fontId="7" fillId="0" borderId="25" xfId="0" applyNumberFormat="1" applyFont="1" applyBorder="1"/>
    <xf numFmtId="171" fontId="7" fillId="0" borderId="26" xfId="0" applyNumberFormat="1" applyFont="1" applyBorder="1"/>
    <xf numFmtId="168" fontId="8" fillId="0" borderId="0" xfId="0" applyNumberFormat="1" applyFont="1" applyBorder="1"/>
    <xf numFmtId="0" fontId="10" fillId="0" borderId="0" xfId="0" applyFont="1" applyBorder="1"/>
    <xf numFmtId="0" fontId="8" fillId="0" borderId="0" xfId="0" applyFont="1" applyBorder="1"/>
    <xf numFmtId="0" fontId="10" fillId="0" borderId="11" xfId="0" applyFont="1" applyBorder="1" applyAlignment="1">
      <alignment horizontal="right"/>
    </xf>
    <xf numFmtId="164" fontId="10" fillId="0" borderId="0" xfId="28" applyNumberFormat="1" applyFont="1" applyBorder="1" applyAlignment="1">
      <alignment horizontal="right"/>
    </xf>
    <xf numFmtId="171" fontId="7" fillId="0" borderId="27" xfId="0" applyNumberFormat="1" applyFont="1" applyBorder="1"/>
    <xf numFmtId="168" fontId="6" fillId="0" borderId="0" xfId="0" applyNumberFormat="1" applyFont="1" applyBorder="1"/>
    <xf numFmtId="168" fontId="6" fillId="0" borderId="0" xfId="0" applyNumberFormat="1" applyFont="1"/>
    <xf numFmtId="0" fontId="6" fillId="0" borderId="11" xfId="0" applyFont="1" applyFill="1" applyBorder="1" applyAlignment="1">
      <alignment horizontal="left" indent="1"/>
    </xf>
    <xf numFmtId="0" fontId="7" fillId="0" borderId="11" xfId="0" applyFont="1" applyBorder="1"/>
    <xf numFmtId="0" fontId="7" fillId="0" borderId="11" xfId="0" applyFont="1" applyFill="1" applyBorder="1"/>
    <xf numFmtId="166" fontId="6" fillId="0" borderId="0" xfId="0" applyNumberFormat="1" applyFont="1"/>
    <xf numFmtId="0" fontId="6" fillId="0" borderId="0" xfId="0" applyFont="1" applyBorder="1" applyAlignment="1"/>
    <xf numFmtId="0" fontId="7" fillId="0" borderId="28" xfId="0" applyFont="1" applyBorder="1"/>
    <xf numFmtId="43" fontId="6" fillId="0" borderId="0" xfId="28" applyFont="1" applyBorder="1"/>
    <xf numFmtId="171" fontId="6" fillId="0" borderId="29" xfId="0" applyNumberFormat="1" applyFont="1" applyBorder="1"/>
    <xf numFmtId="171" fontId="6" fillId="0" borderId="30" xfId="0" applyNumberFormat="1" applyFont="1" applyBorder="1"/>
    <xf numFmtId="171" fontId="6" fillId="0" borderId="31" xfId="0" applyNumberFormat="1" applyFont="1" applyBorder="1"/>
    <xf numFmtId="171" fontId="7" fillId="0" borderId="10" xfId="0" applyNumberFormat="1" applyFont="1" applyBorder="1"/>
    <xf numFmtId="171" fontId="7" fillId="0" borderId="31" xfId="0" applyNumberFormat="1" applyFont="1" applyBorder="1"/>
    <xf numFmtId="171" fontId="7" fillId="0" borderId="32" xfId="0" applyNumberFormat="1" applyFont="1" applyBorder="1"/>
    <xf numFmtId="171" fontId="6" fillId="0" borderId="33" xfId="0" applyNumberFormat="1" applyFont="1" applyBorder="1"/>
    <xf numFmtId="171" fontId="6" fillId="0" borderId="34" xfId="0" applyNumberFormat="1" applyFont="1" applyBorder="1"/>
    <xf numFmtId="171" fontId="6" fillId="0" borderId="35" xfId="0" applyNumberFormat="1" applyFont="1" applyBorder="1"/>
    <xf numFmtId="171" fontId="6" fillId="0" borderId="36" xfId="0" applyNumberFormat="1" applyFont="1" applyBorder="1"/>
    <xf numFmtId="0" fontId="10" fillId="0" borderId="0" xfId="0" applyFont="1" applyAlignment="1">
      <alignment horizontal="right"/>
    </xf>
    <xf numFmtId="0" fontId="6" fillId="0" borderId="20" xfId="0" applyFont="1" applyBorder="1" applyAlignment="1">
      <alignment horizontal="center" vertical="top" wrapText="1"/>
    </xf>
    <xf numFmtId="164" fontId="6" fillId="0" borderId="0" xfId="28" applyNumberFormat="1" applyFont="1" applyBorder="1"/>
    <xf numFmtId="0" fontId="12" fillId="0" borderId="0" xfId="0" applyFont="1" applyBorder="1"/>
    <xf numFmtId="0" fontId="6" fillId="0" borderId="11" xfId="0" applyFont="1" applyBorder="1" applyAlignment="1">
      <alignment horizontal="center" vertical="top" wrapText="1"/>
    </xf>
    <xf numFmtId="0" fontId="6" fillId="0" borderId="11" xfId="0" applyFont="1" applyBorder="1" applyAlignment="1">
      <alignment horizontal="left" vertical="top" wrapText="1"/>
    </xf>
    <xf numFmtId="167" fontId="6" fillId="0" borderId="21" xfId="41" applyNumberFormat="1" applyFont="1" applyFill="1" applyBorder="1" applyAlignment="1">
      <alignment horizontal="center" vertical="top" wrapText="1"/>
    </xf>
    <xf numFmtId="167" fontId="6" fillId="0" borderId="20" xfId="41" applyNumberFormat="1" applyFont="1" applyFill="1" applyBorder="1" applyAlignment="1">
      <alignment horizontal="center" vertical="top" wrapText="1"/>
    </xf>
    <xf numFmtId="0" fontId="6" fillId="0" borderId="11" xfId="0" applyFont="1" applyBorder="1" applyAlignment="1">
      <alignment horizontal="left" vertical="top" wrapText="1" indent="1"/>
    </xf>
    <xf numFmtId="0" fontId="9" fillId="0" borderId="11" xfId="0" applyFont="1" applyBorder="1" applyAlignment="1">
      <alignment horizontal="left" wrapText="1"/>
    </xf>
    <xf numFmtId="0" fontId="6" fillId="0" borderId="21" xfId="0" applyFont="1" applyFill="1" applyBorder="1" applyAlignment="1">
      <alignment horizontal="center" vertical="top" wrapText="1"/>
    </xf>
    <xf numFmtId="0" fontId="6" fillId="0" borderId="20" xfId="0" applyFont="1" applyFill="1" applyBorder="1" applyAlignment="1">
      <alignment horizontal="center" vertical="top" wrapText="1"/>
    </xf>
    <xf numFmtId="167" fontId="6" fillId="0" borderId="21" xfId="0" applyNumberFormat="1" applyFont="1" applyFill="1" applyBorder="1" applyAlignment="1">
      <alignment horizontal="center" vertical="top" wrapText="1"/>
    </xf>
    <xf numFmtId="167" fontId="6" fillId="0" borderId="20" xfId="0" applyNumberFormat="1" applyFont="1" applyFill="1" applyBorder="1" applyAlignment="1">
      <alignment horizontal="center" vertical="top" wrapText="1"/>
    </xf>
    <xf numFmtId="9" fontId="6" fillId="0" borderId="21" xfId="0" applyNumberFormat="1" applyFont="1" applyFill="1" applyBorder="1" applyAlignment="1">
      <alignment horizontal="center" vertical="top" wrapText="1"/>
    </xf>
    <xf numFmtId="9" fontId="6" fillId="0" borderId="20" xfId="0" applyNumberFormat="1" applyFont="1" applyFill="1" applyBorder="1" applyAlignment="1">
      <alignment horizontal="center" vertical="top" wrapText="1"/>
    </xf>
    <xf numFmtId="0" fontId="6" fillId="0" borderId="0" xfId="0" applyFont="1" applyBorder="1" applyAlignment="1">
      <alignment horizontal="left" vertical="top" wrapText="1"/>
    </xf>
    <xf numFmtId="165" fontId="6" fillId="0" borderId="21" xfId="28" applyNumberFormat="1" applyFont="1" applyFill="1" applyBorder="1" applyAlignment="1">
      <alignment vertical="top" wrapText="1"/>
    </xf>
    <xf numFmtId="165" fontId="6" fillId="0" borderId="20" xfId="28" applyNumberFormat="1" applyFont="1" applyFill="1" applyBorder="1" applyAlignment="1">
      <alignment vertical="top" wrapText="1"/>
    </xf>
    <xf numFmtId="165" fontId="6" fillId="0" borderId="0" xfId="28" applyNumberFormat="1" applyFont="1" applyFill="1" applyBorder="1" applyAlignment="1">
      <alignment vertical="top" wrapText="1"/>
    </xf>
    <xf numFmtId="9" fontId="6" fillId="0" borderId="20" xfId="41" applyNumberFormat="1" applyFont="1" applyBorder="1" applyAlignment="1">
      <alignment horizontal="center" vertical="top" wrapText="1"/>
    </xf>
    <xf numFmtId="2" fontId="6" fillId="0" borderId="20" xfId="28" applyNumberFormat="1" applyFont="1" applyBorder="1" applyAlignment="1">
      <alignment horizontal="center" vertical="top" wrapText="1"/>
    </xf>
    <xf numFmtId="167" fontId="6" fillId="0" borderId="20" xfId="0" applyNumberFormat="1" applyFont="1" applyBorder="1" applyAlignment="1">
      <alignment horizontal="center" vertical="top" wrapText="1"/>
    </xf>
    <xf numFmtId="0" fontId="6" fillId="0" borderId="15" xfId="0" applyFont="1" applyBorder="1" applyAlignment="1">
      <alignment horizontal="left" vertical="top" wrapText="1"/>
    </xf>
    <xf numFmtId="165" fontId="6" fillId="0" borderId="35" xfId="28" applyNumberFormat="1" applyFont="1" applyBorder="1" applyAlignment="1">
      <alignment vertical="top" wrapText="1"/>
    </xf>
    <xf numFmtId="165" fontId="6" fillId="0" borderId="35" xfId="28" applyNumberFormat="1" applyFont="1" applyFill="1" applyBorder="1" applyAlignment="1">
      <alignment vertical="top" wrapText="1"/>
    </xf>
    <xf numFmtId="171" fontId="6" fillId="0" borderId="10" xfId="0" applyNumberFormat="1" applyFont="1" applyBorder="1"/>
    <xf numFmtId="164" fontId="6" fillId="0" borderId="0" xfId="28" applyNumberFormat="1" applyFont="1" applyFill="1" applyBorder="1"/>
    <xf numFmtId="0" fontId="7" fillId="0" borderId="37" xfId="0" applyFont="1" applyFill="1" applyBorder="1" applyAlignment="1">
      <alignment horizontal="centerContinuous" vertical="center" wrapText="1"/>
    </xf>
    <xf numFmtId="0" fontId="7" fillId="0" borderId="38" xfId="0" applyFont="1" applyFill="1" applyBorder="1" applyAlignment="1">
      <alignment horizontal="centerContinuous" vertical="center" wrapText="1"/>
    </xf>
    <xf numFmtId="0" fontId="7" fillId="0" borderId="39" xfId="0" applyFont="1" applyFill="1" applyBorder="1" applyAlignment="1">
      <alignment horizontal="centerContinuous" vertical="center" wrapText="1"/>
    </xf>
    <xf numFmtId="0" fontId="7" fillId="0" borderId="29" xfId="0" applyFont="1" applyFill="1" applyBorder="1" applyAlignment="1">
      <alignment horizontal="center" vertical="center" wrapText="1"/>
    </xf>
    <xf numFmtId="0" fontId="7" fillId="0" borderId="40" xfId="0" applyFont="1" applyFill="1" applyBorder="1" applyAlignment="1">
      <alignment horizontal="center" vertical="center" wrapText="1"/>
    </xf>
    <xf numFmtId="43" fontId="6" fillId="0" borderId="0" xfId="28" applyFont="1"/>
    <xf numFmtId="171" fontId="6" fillId="0" borderId="41" xfId="0" applyNumberFormat="1" applyFont="1" applyBorder="1"/>
    <xf numFmtId="171" fontId="6" fillId="0" borderId="42" xfId="0" applyNumberFormat="1" applyFont="1" applyBorder="1"/>
    <xf numFmtId="171" fontId="7" fillId="0" borderId="43" xfId="0" applyNumberFormat="1" applyFont="1" applyBorder="1"/>
    <xf numFmtId="164" fontId="10" fillId="0" borderId="0" xfId="28" applyNumberFormat="1" applyFont="1"/>
    <xf numFmtId="0" fontId="7" fillId="0" borderId="44" xfId="0" applyFont="1" applyFill="1" applyBorder="1" applyAlignment="1">
      <alignment horizontal="center" vertical="center" wrapText="1"/>
    </xf>
    <xf numFmtId="169" fontId="6" fillId="0" borderId="0" xfId="0" applyNumberFormat="1" applyFont="1"/>
    <xf numFmtId="171" fontId="6" fillId="0" borderId="25" xfId="0" applyNumberFormat="1" applyFont="1" applyBorder="1"/>
    <xf numFmtId="171" fontId="6" fillId="0" borderId="45" xfId="0" applyNumberFormat="1" applyFont="1" applyBorder="1"/>
    <xf numFmtId="0" fontId="5" fillId="0" borderId="0" xfId="0" applyFont="1" applyFill="1" applyBorder="1" applyAlignment="1">
      <alignment horizontal="left"/>
    </xf>
    <xf numFmtId="0" fontId="7" fillId="0" borderId="46" xfId="0" applyFont="1" applyFill="1" applyBorder="1" applyAlignment="1">
      <alignment horizontal="center" vertical="center" wrapText="1"/>
    </xf>
    <xf numFmtId="0" fontId="6" fillId="0" borderId="10" xfId="0" applyFont="1" applyBorder="1" applyAlignment="1">
      <alignment horizontal="center"/>
    </xf>
    <xf numFmtId="0" fontId="6" fillId="0" borderId="10" xfId="0" applyFont="1" applyFill="1" applyBorder="1" applyAlignment="1">
      <alignment horizontal="center"/>
    </xf>
    <xf numFmtId="0" fontId="6" fillId="0" borderId="0" xfId="0" quotePrefix="1" applyFont="1"/>
    <xf numFmtId="0" fontId="6" fillId="0" borderId="10" xfId="0" applyFont="1" applyBorder="1" applyAlignment="1">
      <alignment horizontal="left" vertical="top" wrapText="1"/>
    </xf>
    <xf numFmtId="0" fontId="9" fillId="0" borderId="10" xfId="0" applyFont="1" applyBorder="1" applyAlignment="1">
      <alignment horizontal="left" wrapText="1"/>
    </xf>
    <xf numFmtId="0" fontId="12" fillId="0" borderId="10" xfId="0" applyFont="1" applyBorder="1" applyAlignment="1">
      <alignment horizontal="center"/>
    </xf>
    <xf numFmtId="0" fontId="6" fillId="0" borderId="0" xfId="0" quotePrefix="1" applyFont="1" applyBorder="1" applyAlignment="1">
      <alignment horizontal="left" wrapText="1"/>
    </xf>
    <xf numFmtId="0" fontId="6" fillId="0" borderId="47" xfId="0" applyFont="1" applyBorder="1" applyAlignment="1">
      <alignment horizontal="left" vertical="top" wrapText="1"/>
    </xf>
    <xf numFmtId="170" fontId="6" fillId="0" borderId="0" xfId="28" applyNumberFormat="1" applyFont="1" applyBorder="1"/>
    <xf numFmtId="0" fontId="7" fillId="0" borderId="0" xfId="0" applyFont="1"/>
    <xf numFmtId="171" fontId="6" fillId="0" borderId="48" xfId="0" applyNumberFormat="1" applyFont="1" applyBorder="1"/>
    <xf numFmtId="171" fontId="7" fillId="0" borderId="42" xfId="0" applyNumberFormat="1" applyFont="1" applyBorder="1"/>
    <xf numFmtId="171" fontId="6" fillId="0" borderId="49" xfId="0" applyNumberFormat="1" applyFont="1" applyBorder="1"/>
    <xf numFmtId="0" fontId="7" fillId="0" borderId="30" xfId="0" applyFont="1" applyFill="1" applyBorder="1" applyAlignment="1">
      <alignment horizontal="center" vertical="center" wrapText="1"/>
    </xf>
    <xf numFmtId="9" fontId="7" fillId="0" borderId="29" xfId="41" applyFont="1" applyFill="1" applyBorder="1" applyAlignment="1">
      <alignment horizontal="center" vertical="center" wrapText="1"/>
    </xf>
    <xf numFmtId="9" fontId="7" fillId="0" borderId="20" xfId="41" applyFont="1" applyFill="1" applyBorder="1" applyAlignment="1">
      <alignment horizontal="center" vertical="center" wrapText="1"/>
    </xf>
    <xf numFmtId="0" fontId="7" fillId="0" borderId="19" xfId="0" applyFont="1" applyFill="1" applyBorder="1" applyAlignment="1">
      <alignment horizontal="centerContinuous" vertical="center" wrapText="1"/>
    </xf>
    <xf numFmtId="0" fontId="7" fillId="0" borderId="40" xfId="0" applyFont="1" applyFill="1" applyBorder="1" applyAlignment="1">
      <alignment horizontal="centerContinuous" vertical="center" wrapText="1"/>
    </xf>
    <xf numFmtId="0" fontId="7" fillId="0" borderId="44" xfId="0" applyFont="1" applyFill="1" applyBorder="1" applyAlignment="1">
      <alignment horizontal="centerContinuous" vertical="center" wrapText="1"/>
    </xf>
    <xf numFmtId="0" fontId="6" fillId="0" borderId="50" xfId="0" applyFont="1" applyBorder="1" applyAlignment="1">
      <alignment horizontal="center"/>
    </xf>
    <xf numFmtId="171" fontId="7" fillId="0" borderId="51" xfId="0" applyNumberFormat="1" applyFont="1" applyBorder="1"/>
    <xf numFmtId="0" fontId="6" fillId="0" borderId="32" xfId="0" applyFont="1" applyBorder="1" applyAlignment="1">
      <alignment horizontal="center"/>
    </xf>
    <xf numFmtId="0" fontId="7" fillId="0" borderId="21" xfId="0" applyFont="1" applyBorder="1" applyAlignment="1">
      <alignment horizontal="center"/>
    </xf>
    <xf numFmtId="0" fontId="7" fillId="0" borderId="20" xfId="0" applyFont="1" applyBorder="1" applyAlignment="1">
      <alignment horizontal="center"/>
    </xf>
    <xf numFmtId="0" fontId="7" fillId="0" borderId="42" xfId="0" applyFont="1" applyBorder="1" applyAlignment="1">
      <alignment horizontal="center"/>
    </xf>
    <xf numFmtId="171" fontId="7" fillId="0" borderId="50" xfId="0" applyNumberFormat="1" applyFont="1" applyBorder="1"/>
    <xf numFmtId="0" fontId="7" fillId="0" borderId="52" xfId="0" applyFont="1" applyFill="1" applyBorder="1" applyAlignment="1">
      <alignment horizontal="centerContinuous" vertical="center" wrapText="1"/>
    </xf>
    <xf numFmtId="0" fontId="6" fillId="0" borderId="53" xfId="0" applyFont="1" applyBorder="1" applyAlignment="1">
      <alignment horizontal="center"/>
    </xf>
    <xf numFmtId="0" fontId="6" fillId="0" borderId="10" xfId="0" applyFont="1" applyBorder="1" applyAlignment="1">
      <alignment horizontal="center" vertical="top"/>
    </xf>
    <xf numFmtId="171" fontId="7" fillId="0" borderId="54" xfId="0" applyNumberFormat="1" applyFont="1" applyBorder="1"/>
    <xf numFmtId="171" fontId="7" fillId="0" borderId="55" xfId="0" applyNumberFormat="1" applyFont="1" applyBorder="1"/>
    <xf numFmtId="171" fontId="6" fillId="0" borderId="43" xfId="0" applyNumberFormat="1" applyFont="1" applyBorder="1"/>
    <xf numFmtId="167" fontId="6" fillId="0" borderId="42" xfId="41" applyNumberFormat="1" applyFont="1" applyFill="1" applyBorder="1" applyAlignment="1">
      <alignment horizontal="center" vertical="top" wrapText="1"/>
    </xf>
    <xf numFmtId="0" fontId="6" fillId="0" borderId="15" xfId="0" applyFont="1" applyBorder="1" applyAlignment="1">
      <alignment horizontal="left" vertical="top" wrapText="1" indent="1"/>
    </xf>
    <xf numFmtId="171" fontId="6" fillId="0" borderId="24" xfId="0" applyNumberFormat="1" applyFont="1" applyBorder="1"/>
    <xf numFmtId="171" fontId="6" fillId="0" borderId="23" xfId="0" applyNumberFormat="1" applyFont="1" applyBorder="1"/>
    <xf numFmtId="171" fontId="6" fillId="0" borderId="51" xfId="0" applyNumberFormat="1" applyFont="1" applyBorder="1"/>
    <xf numFmtId="171" fontId="7" fillId="0" borderId="56" xfId="0" applyNumberFormat="1" applyFont="1" applyBorder="1"/>
    <xf numFmtId="0" fontId="7" fillId="0" borderId="57" xfId="0" applyFont="1" applyFill="1" applyBorder="1" applyAlignment="1">
      <alignment horizontal="left"/>
    </xf>
    <xf numFmtId="171" fontId="6" fillId="0" borderId="26" xfId="0" applyNumberFormat="1" applyFont="1" applyBorder="1"/>
    <xf numFmtId="9" fontId="7" fillId="0" borderId="46" xfId="41" applyFont="1" applyFill="1" applyBorder="1" applyAlignment="1">
      <alignment horizontal="center" vertical="center" wrapText="1"/>
    </xf>
    <xf numFmtId="167" fontId="7" fillId="0" borderId="42" xfId="41" applyNumberFormat="1" applyFont="1" applyFill="1" applyBorder="1" applyAlignment="1">
      <alignment vertical="top" wrapText="1"/>
    </xf>
    <xf numFmtId="0" fontId="7" fillId="0" borderId="58" xfId="0" applyFont="1" applyFill="1" applyBorder="1" applyAlignment="1">
      <alignment horizontal="center" vertical="center" wrapText="1"/>
    </xf>
    <xf numFmtId="0" fontId="7" fillId="0" borderId="59" xfId="0" applyFont="1" applyFill="1" applyBorder="1" applyAlignment="1">
      <alignment horizontal="center" vertical="top" wrapText="1"/>
    </xf>
    <xf numFmtId="0" fontId="7" fillId="0" borderId="60" xfId="0" applyFont="1" applyFill="1" applyBorder="1" applyAlignment="1">
      <alignment horizontal="center" vertical="top" wrapText="1"/>
    </xf>
    <xf numFmtId="0" fontId="7" fillId="0" borderId="58" xfId="0" applyFont="1" applyFill="1" applyBorder="1" applyAlignment="1">
      <alignment horizontal="center" vertical="top" wrapText="1"/>
    </xf>
    <xf numFmtId="0" fontId="7" fillId="0" borderId="53" xfId="0" applyFont="1" applyFill="1" applyBorder="1" applyAlignment="1">
      <alignment horizontal="left"/>
    </xf>
    <xf numFmtId="9" fontId="7" fillId="0" borderId="61" xfId="41" applyFont="1" applyFill="1" applyBorder="1" applyAlignment="1">
      <alignment horizontal="center" vertical="center" wrapText="1"/>
    </xf>
    <xf numFmtId="0" fontId="7" fillId="0" borderId="62" xfId="0" applyFont="1" applyFill="1" applyBorder="1" applyAlignment="1">
      <alignment horizontal="center" vertical="top" wrapText="1"/>
    </xf>
    <xf numFmtId="9" fontId="7" fillId="0" borderId="58" xfId="41" applyFont="1" applyFill="1" applyBorder="1" applyAlignment="1">
      <alignment horizontal="center" vertical="center" wrapText="1"/>
    </xf>
    <xf numFmtId="165" fontId="6" fillId="0" borderId="0" xfId="28" applyNumberFormat="1" applyFont="1" applyBorder="1" applyAlignment="1">
      <alignment vertical="top" wrapText="1"/>
    </xf>
    <xf numFmtId="0" fontId="6" fillId="0" borderId="53" xfId="0" applyFont="1" applyFill="1" applyBorder="1" applyAlignment="1">
      <alignment horizontal="center"/>
    </xf>
    <xf numFmtId="0" fontId="11" fillId="0" borderId="0" xfId="0" applyFont="1" applyBorder="1" applyAlignment="1">
      <alignment horizontal="left" vertical="top" wrapText="1"/>
    </xf>
    <xf numFmtId="0" fontId="6" fillId="0" borderId="21" xfId="0" applyFont="1" applyBorder="1" applyAlignment="1">
      <alignment horizontal="center" vertical="top" wrapText="1"/>
    </xf>
    <xf numFmtId="0" fontId="6" fillId="0" borderId="42" xfId="0" applyFont="1" applyBorder="1" applyAlignment="1">
      <alignment horizontal="center" vertical="top" wrapText="1"/>
    </xf>
    <xf numFmtId="9" fontId="6" fillId="0" borderId="21" xfId="41" applyNumberFormat="1" applyFont="1" applyBorder="1" applyAlignment="1">
      <alignment horizontal="center" vertical="top" wrapText="1"/>
    </xf>
    <xf numFmtId="9" fontId="6" fillId="0" borderId="42" xfId="41" applyNumberFormat="1" applyFont="1" applyBorder="1" applyAlignment="1">
      <alignment horizontal="center" vertical="top" wrapText="1"/>
    </xf>
    <xf numFmtId="2" fontId="6" fillId="0" borderId="21" xfId="28" applyNumberFormat="1" applyFont="1" applyBorder="1" applyAlignment="1">
      <alignment horizontal="center" vertical="top" wrapText="1"/>
    </xf>
    <xf numFmtId="2" fontId="6" fillId="0" borderId="42" xfId="28" applyNumberFormat="1" applyFont="1" applyBorder="1" applyAlignment="1">
      <alignment horizontal="center" vertical="top" wrapText="1"/>
    </xf>
    <xf numFmtId="9" fontId="6" fillId="0" borderId="21" xfId="0" applyNumberFormat="1" applyFont="1" applyBorder="1" applyAlignment="1">
      <alignment horizontal="center" vertical="top" wrapText="1"/>
    </xf>
    <xf numFmtId="9" fontId="6" fillId="0" borderId="20" xfId="0" applyNumberFormat="1" applyFont="1" applyBorder="1" applyAlignment="1">
      <alignment horizontal="center" vertical="top" wrapText="1"/>
    </xf>
    <xf numFmtId="9" fontId="6" fillId="0" borderId="42" xfId="0" applyNumberFormat="1" applyFont="1" applyBorder="1" applyAlignment="1">
      <alignment horizontal="center" vertical="top" wrapText="1"/>
    </xf>
    <xf numFmtId="167" fontId="6" fillId="0" borderId="42" xfId="0" applyNumberFormat="1" applyFont="1" applyBorder="1" applyAlignment="1">
      <alignment horizontal="center" vertical="top" wrapText="1"/>
    </xf>
    <xf numFmtId="167" fontId="6" fillId="0" borderId="21" xfId="0" applyNumberFormat="1" applyFont="1" applyBorder="1" applyAlignment="1">
      <alignment horizontal="center" vertical="top" wrapText="1"/>
    </xf>
    <xf numFmtId="165" fontId="6" fillId="0" borderId="21" xfId="28" applyNumberFormat="1" applyFont="1" applyBorder="1" applyAlignment="1">
      <alignment vertical="top" wrapText="1"/>
    </xf>
    <xf numFmtId="165" fontId="6" fillId="0" borderId="20" xfId="28" applyNumberFormat="1" applyFont="1" applyBorder="1" applyAlignment="1">
      <alignment vertical="top" wrapText="1"/>
    </xf>
    <xf numFmtId="165" fontId="6" fillId="0" borderId="42" xfId="28" applyNumberFormat="1" applyFont="1" applyBorder="1" applyAlignment="1">
      <alignment vertical="top" wrapText="1"/>
    </xf>
    <xf numFmtId="165" fontId="6" fillId="0" borderId="48" xfId="28" applyNumberFormat="1" applyFont="1" applyBorder="1" applyAlignment="1">
      <alignment vertical="top" wrapText="1"/>
    </xf>
    <xf numFmtId="9" fontId="6" fillId="0" borderId="20" xfId="41" applyFont="1" applyFill="1" applyBorder="1" applyAlignment="1">
      <alignment horizontal="center" vertical="top" wrapText="1"/>
    </xf>
    <xf numFmtId="9" fontId="6" fillId="0" borderId="42" xfId="41" applyFont="1" applyFill="1" applyBorder="1" applyAlignment="1">
      <alignment horizontal="center" vertical="top" wrapText="1"/>
    </xf>
    <xf numFmtId="165" fontId="6" fillId="0" borderId="42" xfId="28" applyNumberFormat="1" applyFont="1" applyFill="1" applyBorder="1" applyAlignment="1">
      <alignment vertical="top" wrapText="1"/>
    </xf>
    <xf numFmtId="165" fontId="6" fillId="0" borderId="36" xfId="28" applyNumberFormat="1" applyFont="1" applyFill="1" applyBorder="1" applyAlignment="1">
      <alignment vertical="top" wrapText="1"/>
    </xf>
    <xf numFmtId="165" fontId="6" fillId="0" borderId="48" xfId="28" applyNumberFormat="1" applyFont="1" applyFill="1" applyBorder="1" applyAlignment="1">
      <alignment vertical="top" wrapText="1"/>
    </xf>
    <xf numFmtId="9" fontId="6" fillId="0" borderId="21" xfId="41" applyNumberFormat="1" applyFont="1" applyFill="1" applyBorder="1" applyAlignment="1">
      <alignment horizontal="center" vertical="top" wrapText="1"/>
    </xf>
    <xf numFmtId="9" fontId="6" fillId="0" borderId="20" xfId="41" applyNumberFormat="1" applyFont="1" applyFill="1" applyBorder="1" applyAlignment="1">
      <alignment horizontal="center" vertical="top" wrapText="1"/>
    </xf>
    <xf numFmtId="9" fontId="6" fillId="0" borderId="42" xfId="41" applyNumberFormat="1" applyFont="1" applyFill="1" applyBorder="1" applyAlignment="1">
      <alignment horizontal="center" vertical="top" wrapText="1"/>
    </xf>
    <xf numFmtId="0" fontId="6" fillId="0" borderId="42" xfId="0" applyFont="1" applyFill="1" applyBorder="1" applyAlignment="1">
      <alignment horizontal="center" vertical="top" wrapText="1"/>
    </xf>
    <xf numFmtId="2" fontId="6" fillId="0" borderId="21" xfId="28" applyNumberFormat="1" applyFont="1" applyFill="1" applyBorder="1" applyAlignment="1">
      <alignment horizontal="center" vertical="top" wrapText="1"/>
    </xf>
    <xf numFmtId="2" fontId="6" fillId="0" borderId="20" xfId="28" applyNumberFormat="1" applyFont="1" applyFill="1" applyBorder="1" applyAlignment="1">
      <alignment horizontal="center" vertical="top" wrapText="1"/>
    </xf>
    <xf numFmtId="2" fontId="6" fillId="0" borderId="42" xfId="28" applyNumberFormat="1" applyFont="1" applyFill="1" applyBorder="1" applyAlignment="1">
      <alignment horizontal="center" vertical="top" wrapText="1"/>
    </xf>
    <xf numFmtId="9" fontId="6" fillId="0" borderId="42" xfId="0" applyNumberFormat="1" applyFont="1" applyFill="1" applyBorder="1" applyAlignment="1">
      <alignment horizontal="center" vertical="top" wrapText="1"/>
    </xf>
    <xf numFmtId="0" fontId="7" fillId="0" borderId="62" xfId="0" applyFont="1" applyFill="1" applyBorder="1" applyAlignment="1">
      <alignment horizontal="center" vertical="center" wrapText="1"/>
    </xf>
    <xf numFmtId="9" fontId="7" fillId="0" borderId="63" xfId="41" applyFont="1" applyFill="1" applyBorder="1" applyAlignment="1">
      <alignment horizontal="center" vertical="center" wrapText="1"/>
    </xf>
    <xf numFmtId="9" fontId="7" fillId="0" borderId="26" xfId="41" applyFont="1" applyFill="1" applyBorder="1" applyAlignment="1">
      <alignment horizontal="centerContinuous" vertical="center" wrapText="1"/>
    </xf>
    <xf numFmtId="9" fontId="7" fillId="0" borderId="43" xfId="41" applyFont="1" applyFill="1" applyBorder="1" applyAlignment="1">
      <alignment horizontal="centerContinuous" vertical="center" wrapText="1"/>
    </xf>
    <xf numFmtId="0" fontId="7" fillId="0" borderId="28" xfId="0" applyFont="1" applyFill="1" applyBorder="1" applyAlignment="1">
      <alignment horizontal="center" vertical="center" wrapText="1"/>
    </xf>
    <xf numFmtId="171" fontId="6" fillId="0" borderId="58" xfId="0" applyNumberFormat="1" applyFont="1" applyBorder="1" applyAlignment="1">
      <alignment horizontal="center"/>
    </xf>
    <xf numFmtId="171" fontId="6" fillId="0" borderId="59" xfId="0" applyNumberFormat="1" applyFont="1" applyBorder="1" applyAlignment="1">
      <alignment horizontal="center"/>
    </xf>
    <xf numFmtId="171" fontId="6" fillId="0" borderId="63" xfId="0" applyNumberFormat="1" applyFont="1" applyBorder="1" applyAlignment="1">
      <alignment horizontal="center"/>
    </xf>
    <xf numFmtId="0" fontId="7" fillId="0" borderId="64" xfId="0" applyFont="1" applyFill="1" applyBorder="1" applyAlignment="1">
      <alignment horizontal="centerContinuous" vertical="center" wrapText="1"/>
    </xf>
    <xf numFmtId="171" fontId="6" fillId="0" borderId="56" xfId="0" applyNumberFormat="1" applyFont="1" applyBorder="1"/>
    <xf numFmtId="171" fontId="6" fillId="0" borderId="27" xfId="0" applyNumberFormat="1" applyFont="1" applyBorder="1"/>
    <xf numFmtId="171" fontId="6" fillId="0" borderId="65" xfId="0" applyNumberFormat="1" applyFont="1" applyBorder="1"/>
    <xf numFmtId="0" fontId="11" fillId="0" borderId="0" xfId="0" applyFont="1" applyBorder="1" applyAlignment="1"/>
    <xf numFmtId="0" fontId="10" fillId="0" borderId="0" xfId="0" applyFont="1" applyBorder="1" applyAlignment="1"/>
    <xf numFmtId="0" fontId="7" fillId="0" borderId="57" xfId="0" applyFont="1" applyFill="1" applyBorder="1" applyAlignment="1">
      <alignment horizontal="left" wrapText="1"/>
    </xf>
    <xf numFmtId="0" fontId="6" fillId="0" borderId="53" xfId="0" applyFont="1" applyBorder="1" applyAlignment="1">
      <alignment horizontal="center" wrapText="1"/>
    </xf>
    <xf numFmtId="0" fontId="10" fillId="0" borderId="42" xfId="0" applyFont="1" applyFill="1" applyBorder="1" applyAlignment="1">
      <alignment horizontal="center"/>
    </xf>
    <xf numFmtId="9" fontId="7" fillId="0" borderId="20" xfId="41" applyFont="1" applyFill="1" applyBorder="1" applyAlignment="1">
      <alignment horizontal="center" vertical="top" wrapText="1"/>
    </xf>
    <xf numFmtId="9" fontId="7" fillId="0" borderId="19" xfId="41" applyFont="1" applyFill="1" applyBorder="1" applyAlignment="1">
      <alignment horizontal="center" vertical="top" wrapText="1"/>
    </xf>
    <xf numFmtId="9" fontId="7" fillId="0" borderId="33" xfId="41" applyFont="1" applyFill="1" applyBorder="1" applyAlignment="1">
      <alignment horizontal="center" vertical="top" wrapText="1"/>
    </xf>
    <xf numFmtId="9" fontId="7" fillId="0" borderId="59" xfId="41" applyFont="1" applyFill="1" applyBorder="1" applyAlignment="1">
      <alignment horizontal="center" vertical="top" wrapText="1"/>
    </xf>
    <xf numFmtId="0" fontId="7" fillId="0" borderId="21" xfId="0" applyFont="1" applyFill="1" applyBorder="1" applyAlignment="1">
      <alignment horizontal="center"/>
    </xf>
    <xf numFmtId="0" fontId="7" fillId="0" borderId="20" xfId="28" applyNumberFormat="1" applyFont="1" applyFill="1" applyBorder="1" applyAlignment="1">
      <alignment horizontal="center"/>
    </xf>
    <xf numFmtId="0" fontId="10" fillId="0" borderId="20" xfId="0" applyFont="1" applyFill="1" applyBorder="1" applyAlignment="1">
      <alignment horizontal="center"/>
    </xf>
    <xf numFmtId="0" fontId="2" fillId="0" borderId="66" xfId="0" applyFont="1" applyFill="1" applyBorder="1" applyAlignment="1">
      <alignment horizontal="center"/>
    </xf>
    <xf numFmtId="0" fontId="2" fillId="0" borderId="67" xfId="0" applyFont="1" applyFill="1" applyBorder="1"/>
    <xf numFmtId="0" fontId="3" fillId="0" borderId="0" xfId="0" applyFont="1"/>
    <xf numFmtId="0" fontId="2" fillId="0" borderId="66" xfId="0" applyFont="1" applyBorder="1" applyAlignment="1">
      <alignment horizontal="center"/>
    </xf>
    <xf numFmtId="0" fontId="2" fillId="0" borderId="13" xfId="0" applyFont="1" applyFill="1" applyBorder="1"/>
    <xf numFmtId="171" fontId="7" fillId="0" borderId="30" xfId="0" applyNumberFormat="1" applyFont="1" applyBorder="1"/>
    <xf numFmtId="171" fontId="7" fillId="0" borderId="29" xfId="0" applyNumberFormat="1" applyFont="1" applyBorder="1"/>
    <xf numFmtId="171" fontId="7" fillId="0" borderId="49" xfId="0" applyNumberFormat="1" applyFont="1" applyBorder="1"/>
    <xf numFmtId="171" fontId="7" fillId="0" borderId="36" xfId="0" applyNumberFormat="1" applyFont="1" applyBorder="1"/>
    <xf numFmtId="171" fontId="7" fillId="0" borderId="35" xfId="0" applyNumberFormat="1" applyFont="1" applyBorder="1"/>
    <xf numFmtId="171" fontId="7" fillId="0" borderId="48" xfId="0" applyNumberFormat="1" applyFont="1" applyBorder="1"/>
    <xf numFmtId="168" fontId="10" fillId="0" borderId="0" xfId="0" applyNumberFormat="1" applyFont="1"/>
    <xf numFmtId="171" fontId="6" fillId="0" borderId="50" xfId="0" applyNumberFormat="1" applyFont="1" applyBorder="1"/>
    <xf numFmtId="171" fontId="6" fillId="0" borderId="32" xfId="0" applyNumberFormat="1" applyFont="1" applyBorder="1"/>
    <xf numFmtId="9" fontId="6" fillId="0" borderId="36" xfId="41" applyFont="1" applyBorder="1" applyAlignment="1">
      <alignment horizontal="center" vertical="top" wrapText="1"/>
    </xf>
    <xf numFmtId="0" fontId="5" fillId="0" borderId="0" xfId="0" applyFont="1" applyFill="1" applyBorder="1" applyAlignment="1" applyProtection="1">
      <alignment horizontal="left"/>
    </xf>
    <xf numFmtId="0" fontId="6" fillId="0" borderId="0" xfId="0" applyFont="1" applyAlignment="1" applyProtection="1">
      <alignment horizontal="center"/>
    </xf>
    <xf numFmtId="0" fontId="6" fillId="0" borderId="0" xfId="0" applyFont="1" applyProtection="1"/>
    <xf numFmtId="0" fontId="7" fillId="0" borderId="19" xfId="0" applyFont="1" applyFill="1" applyBorder="1" applyAlignment="1" applyProtection="1">
      <alignment horizontal="center" vertical="center" wrapText="1"/>
    </xf>
    <xf numFmtId="0" fontId="7" fillId="0" borderId="40" xfId="0" applyFont="1" applyFill="1" applyBorder="1" applyAlignment="1" applyProtection="1">
      <alignment horizontal="center" vertical="center" wrapText="1"/>
    </xf>
    <xf numFmtId="0" fontId="7" fillId="0" borderId="44" xfId="0" applyFont="1" applyFill="1" applyBorder="1" applyAlignment="1" applyProtection="1">
      <alignment horizontal="centerContinuous" vertical="center" wrapText="1"/>
    </xf>
    <xf numFmtId="0" fontId="7" fillId="0" borderId="19" xfId="0" applyFont="1" applyFill="1" applyBorder="1" applyAlignment="1" applyProtection="1">
      <alignment horizontal="centerContinuous" vertical="center" wrapText="1"/>
    </xf>
    <xf numFmtId="0" fontId="7" fillId="0" borderId="40" xfId="0" applyFont="1" applyFill="1" applyBorder="1" applyAlignment="1" applyProtection="1">
      <alignment horizontal="centerContinuous" vertical="center" wrapText="1"/>
    </xf>
    <xf numFmtId="0" fontId="9" fillId="0" borderId="11" xfId="0" applyFont="1" applyBorder="1" applyProtection="1"/>
    <xf numFmtId="171" fontId="6" fillId="0" borderId="20" xfId="0" applyNumberFormat="1" applyFont="1" applyBorder="1" applyProtection="1"/>
    <xf numFmtId="171" fontId="6" fillId="0" borderId="42" xfId="0" applyNumberFormat="1" applyFont="1" applyBorder="1" applyProtection="1"/>
    <xf numFmtId="171" fontId="6" fillId="0" borderId="21" xfId="0" applyNumberFormat="1" applyFont="1" applyBorder="1" applyProtection="1"/>
    <xf numFmtId="0" fontId="7" fillId="0" borderId="0" xfId="0" applyFont="1" applyBorder="1" applyAlignment="1" applyProtection="1">
      <alignment horizontal="center"/>
    </xf>
    <xf numFmtId="0" fontId="6" fillId="0" borderId="11" xfId="0" applyFont="1" applyBorder="1" applyAlignment="1" applyProtection="1">
      <alignment horizontal="left" indent="1"/>
    </xf>
    <xf numFmtId="0" fontId="6" fillId="0" borderId="11" xfId="0" applyFont="1" applyBorder="1" applyAlignment="1" applyProtection="1">
      <alignment horizontal="center"/>
    </xf>
    <xf numFmtId="168" fontId="6" fillId="0" borderId="0" xfId="0" applyNumberFormat="1" applyFont="1" applyBorder="1" applyProtection="1"/>
    <xf numFmtId="0" fontId="6" fillId="0" borderId="11" xfId="0" applyFont="1" applyFill="1" applyBorder="1" applyAlignment="1" applyProtection="1">
      <alignment horizontal="left" indent="1"/>
    </xf>
    <xf numFmtId="0" fontId="6" fillId="0" borderId="0" xfId="0" applyFont="1" applyFill="1" applyProtection="1"/>
    <xf numFmtId="171" fontId="7" fillId="0" borderId="25" xfId="0" applyNumberFormat="1" applyFont="1" applyBorder="1" applyProtection="1"/>
    <xf numFmtId="171" fontId="7" fillId="0" borderId="43" xfId="0" applyNumberFormat="1" applyFont="1" applyBorder="1" applyProtection="1"/>
    <xf numFmtId="171" fontId="7" fillId="0" borderId="26" xfId="0" applyNumberFormat="1" applyFont="1" applyBorder="1" applyProtection="1"/>
    <xf numFmtId="168" fontId="7" fillId="0" borderId="0" xfId="0" applyNumberFormat="1" applyFont="1" applyBorder="1" applyProtection="1"/>
    <xf numFmtId="0" fontId="6" fillId="0" borderId="11" xfId="0" applyFont="1" applyBorder="1" applyProtection="1"/>
    <xf numFmtId="0" fontId="7" fillId="0" borderId="11" xfId="0" applyFont="1" applyBorder="1" applyProtection="1"/>
    <xf numFmtId="171" fontId="7" fillId="0" borderId="20" xfId="0" applyNumberFormat="1" applyFont="1" applyBorder="1" applyProtection="1"/>
    <xf numFmtId="171" fontId="7" fillId="0" borderId="42" xfId="0" applyNumberFormat="1" applyFont="1" applyBorder="1" applyProtection="1"/>
    <xf numFmtId="171" fontId="7" fillId="0" borderId="21" xfId="0" applyNumberFormat="1" applyFont="1" applyBorder="1" applyProtection="1"/>
    <xf numFmtId="171" fontId="7" fillId="0" borderId="20" xfId="0" applyNumberFormat="1" applyFont="1" applyBorder="1" applyAlignment="1" applyProtection="1">
      <alignment vertical="top"/>
    </xf>
    <xf numFmtId="171" fontId="7" fillId="0" borderId="42" xfId="0" applyNumberFormat="1" applyFont="1" applyBorder="1" applyAlignment="1" applyProtection="1">
      <alignment vertical="top"/>
    </xf>
    <xf numFmtId="171" fontId="7" fillId="0" borderId="21" xfId="0" applyNumberFormat="1" applyFont="1" applyBorder="1" applyAlignment="1" applyProtection="1">
      <alignment vertical="top"/>
    </xf>
    <xf numFmtId="0" fontId="7" fillId="0" borderId="22" xfId="0" applyFont="1" applyBorder="1" applyProtection="1"/>
    <xf numFmtId="0" fontId="7" fillId="0" borderId="22" xfId="0" applyFont="1" applyBorder="1" applyAlignment="1" applyProtection="1">
      <alignment horizontal="center"/>
    </xf>
    <xf numFmtId="171" fontId="7" fillId="0" borderId="23" xfId="0" applyNumberFormat="1" applyFont="1" applyBorder="1" applyProtection="1"/>
    <xf numFmtId="171" fontId="7" fillId="0" borderId="51" xfId="0" applyNumberFormat="1" applyFont="1" applyBorder="1" applyProtection="1"/>
    <xf numFmtId="171" fontId="7" fillId="0" borderId="24" xfId="0" applyNumberFormat="1" applyFont="1" applyBorder="1" applyProtection="1"/>
    <xf numFmtId="0" fontId="11" fillId="0" borderId="11" xfId="0" applyFont="1" applyBorder="1" applyProtection="1"/>
    <xf numFmtId="0" fontId="8" fillId="0" borderId="11" xfId="0" applyFont="1" applyBorder="1" applyAlignment="1" applyProtection="1">
      <alignment horizontal="center"/>
    </xf>
    <xf numFmtId="171" fontId="10" fillId="0" borderId="20" xfId="0" applyNumberFormat="1" applyFont="1" applyBorder="1" applyProtection="1"/>
    <xf numFmtId="171" fontId="10" fillId="0" borderId="42" xfId="0" applyNumberFormat="1" applyFont="1" applyBorder="1" applyProtection="1"/>
    <xf numFmtId="171" fontId="10" fillId="0" borderId="21" xfId="0" applyNumberFormat="1" applyFont="1" applyBorder="1" applyProtection="1"/>
    <xf numFmtId="0" fontId="6" fillId="0" borderId="0" xfId="0" applyFont="1" applyBorder="1" applyProtection="1"/>
    <xf numFmtId="0" fontId="10" fillId="0" borderId="11" xfId="0" applyFont="1" applyBorder="1" applyProtection="1"/>
    <xf numFmtId="0" fontId="10" fillId="0" borderId="15" xfId="0" applyFont="1" applyBorder="1" applyProtection="1"/>
    <xf numFmtId="0" fontId="10" fillId="0" borderId="15" xfId="0" applyFont="1" applyBorder="1" applyAlignment="1" applyProtection="1">
      <alignment horizontal="center"/>
    </xf>
    <xf numFmtId="168" fontId="6" fillId="0" borderId="0" xfId="0" applyNumberFormat="1" applyFont="1" applyProtection="1"/>
    <xf numFmtId="0" fontId="6" fillId="0" borderId="0" xfId="0" applyFont="1" applyFill="1" applyBorder="1" applyProtection="1"/>
    <xf numFmtId="0" fontId="6" fillId="0" borderId="0" xfId="0" applyFont="1" applyFill="1" applyBorder="1" applyAlignment="1" applyProtection="1">
      <alignment horizontal="center"/>
    </xf>
    <xf numFmtId="171" fontId="6" fillId="25" borderId="20" xfId="0" applyNumberFormat="1" applyFont="1" applyFill="1" applyBorder="1" applyProtection="1">
      <protection locked="0"/>
    </xf>
    <xf numFmtId="171" fontId="6" fillId="25" borderId="42" xfId="0" applyNumberFormat="1" applyFont="1" applyFill="1" applyBorder="1" applyProtection="1">
      <protection locked="0"/>
    </xf>
    <xf numFmtId="171" fontId="6" fillId="25" borderId="21" xfId="0" applyNumberFormat="1" applyFont="1" applyFill="1" applyBorder="1" applyProtection="1">
      <protection locked="0"/>
    </xf>
    <xf numFmtId="171" fontId="6" fillId="25" borderId="59" xfId="0" applyNumberFormat="1" applyFont="1" applyFill="1" applyBorder="1" applyProtection="1">
      <protection locked="0"/>
    </xf>
    <xf numFmtId="171" fontId="6" fillId="25" borderId="63" xfId="0" applyNumberFormat="1" applyFont="1" applyFill="1" applyBorder="1" applyProtection="1">
      <protection locked="0"/>
    </xf>
    <xf numFmtId="171" fontId="6" fillId="25" borderId="58" xfId="0" applyNumberFormat="1" applyFont="1" applyFill="1" applyBorder="1" applyProtection="1">
      <protection locked="0"/>
    </xf>
    <xf numFmtId="171" fontId="10" fillId="25" borderId="20" xfId="0" applyNumberFormat="1" applyFont="1" applyFill="1" applyBorder="1" applyProtection="1">
      <protection locked="0"/>
    </xf>
    <xf numFmtId="171" fontId="10" fillId="25" borderId="42" xfId="0" applyNumberFormat="1" applyFont="1" applyFill="1" applyBorder="1" applyProtection="1">
      <protection locked="0"/>
    </xf>
    <xf numFmtId="171" fontId="10" fillId="25" borderId="21" xfId="0" applyNumberFormat="1" applyFont="1" applyFill="1" applyBorder="1" applyProtection="1">
      <protection locked="0"/>
    </xf>
    <xf numFmtId="171" fontId="10" fillId="25" borderId="35" xfId="0" applyNumberFormat="1" applyFont="1" applyFill="1" applyBorder="1" applyProtection="1">
      <protection locked="0"/>
    </xf>
    <xf numFmtId="171" fontId="10" fillId="25" borderId="48" xfId="0" applyNumberFormat="1" applyFont="1" applyFill="1" applyBorder="1" applyProtection="1">
      <protection locked="0"/>
    </xf>
    <xf numFmtId="171" fontId="10" fillId="25" borderId="36" xfId="0" applyNumberFormat="1" applyFont="1" applyFill="1" applyBorder="1" applyProtection="1">
      <protection locked="0"/>
    </xf>
    <xf numFmtId="171" fontId="6" fillId="0" borderId="20" xfId="0" applyNumberFormat="1" applyFont="1" applyFill="1" applyBorder="1"/>
    <xf numFmtId="171" fontId="6" fillId="0" borderId="42" xfId="0" applyNumberFormat="1" applyFont="1" applyFill="1" applyBorder="1"/>
    <xf numFmtId="171" fontId="6" fillId="0" borderId="21" xfId="0" applyNumberFormat="1" applyFont="1" applyFill="1" applyBorder="1"/>
    <xf numFmtId="171" fontId="7" fillId="25" borderId="21" xfId="0" applyNumberFormat="1" applyFont="1" applyFill="1" applyBorder="1" applyProtection="1">
      <protection locked="0"/>
    </xf>
    <xf numFmtId="0" fontId="7" fillId="25" borderId="11" xfId="0" applyFont="1" applyFill="1" applyBorder="1" applyAlignment="1" applyProtection="1">
      <alignment horizontal="left" vertical="top" wrapText="1"/>
      <protection locked="0"/>
    </xf>
    <xf numFmtId="0" fontId="7" fillId="25" borderId="10" xfId="0" applyFont="1" applyFill="1" applyBorder="1" applyAlignment="1" applyProtection="1">
      <alignment horizontal="left" vertical="top" wrapText="1"/>
      <protection locked="0"/>
    </xf>
    <xf numFmtId="0" fontId="6" fillId="25" borderId="11" xfId="0" applyFont="1" applyFill="1" applyBorder="1" applyAlignment="1" applyProtection="1">
      <alignment horizontal="left" vertical="top" wrapText="1"/>
      <protection locked="0"/>
    </xf>
    <xf numFmtId="0" fontId="6" fillId="25" borderId="10" xfId="0" applyFont="1" applyFill="1" applyBorder="1" applyAlignment="1" applyProtection="1">
      <alignment horizontal="left" vertical="top" wrapText="1"/>
      <protection locked="0"/>
    </xf>
    <xf numFmtId="0" fontId="6" fillId="25" borderId="11" xfId="0" applyFont="1" applyFill="1" applyBorder="1" applyAlignment="1" applyProtection="1">
      <alignment horizontal="left" wrapText="1"/>
      <protection locked="0"/>
    </xf>
    <xf numFmtId="0" fontId="9" fillId="25" borderId="10" xfId="0" applyFont="1" applyFill="1" applyBorder="1" applyAlignment="1" applyProtection="1">
      <alignment horizontal="left" wrapText="1"/>
      <protection locked="0"/>
    </xf>
    <xf numFmtId="0" fontId="6" fillId="25" borderId="15" xfId="0" applyFont="1" applyFill="1" applyBorder="1" applyAlignment="1" applyProtection="1">
      <alignment horizontal="left" wrapText="1"/>
      <protection locked="0"/>
    </xf>
    <xf numFmtId="0" fontId="9" fillId="25" borderId="47" xfId="0" applyFont="1" applyFill="1" applyBorder="1" applyAlignment="1" applyProtection="1">
      <alignment horizontal="left" wrapText="1"/>
      <protection locked="0"/>
    </xf>
    <xf numFmtId="171" fontId="6" fillId="25" borderId="36" xfId="0" applyNumberFormat="1" applyFont="1" applyFill="1" applyBorder="1" applyProtection="1">
      <protection locked="0"/>
    </xf>
    <xf numFmtId="171" fontId="6" fillId="25" borderId="35" xfId="0" applyNumberFormat="1" applyFont="1" applyFill="1" applyBorder="1" applyProtection="1">
      <protection locked="0"/>
    </xf>
    <xf numFmtId="171" fontId="6" fillId="25" borderId="48" xfId="0" applyNumberFormat="1" applyFont="1" applyFill="1" applyBorder="1" applyProtection="1">
      <protection locked="0"/>
    </xf>
    <xf numFmtId="168" fontId="6" fillId="25" borderId="0" xfId="0" applyNumberFormat="1" applyFont="1" applyFill="1" applyBorder="1" applyProtection="1">
      <protection locked="0"/>
    </xf>
    <xf numFmtId="0" fontId="6" fillId="0" borderId="21" xfId="0" applyFont="1" applyFill="1" applyBorder="1" applyAlignment="1" applyProtection="1">
      <alignment horizontal="center" vertical="top" wrapText="1"/>
      <protection locked="0"/>
    </xf>
    <xf numFmtId="9" fontId="6" fillId="25" borderId="21" xfId="41" applyFont="1" applyFill="1" applyBorder="1" applyAlignment="1" applyProtection="1">
      <alignment horizontal="center" vertical="top" wrapText="1"/>
      <protection locked="0"/>
    </xf>
    <xf numFmtId="9" fontId="6" fillId="25" borderId="20" xfId="41" applyFont="1" applyFill="1" applyBorder="1" applyAlignment="1" applyProtection="1">
      <alignment horizontal="center" vertical="top" wrapText="1"/>
      <protection locked="0"/>
    </xf>
    <xf numFmtId="9" fontId="6" fillId="25" borderId="42" xfId="41" applyFont="1" applyFill="1" applyBorder="1" applyAlignment="1" applyProtection="1">
      <alignment horizontal="center" vertical="top" wrapText="1"/>
      <protection locked="0"/>
    </xf>
    <xf numFmtId="0" fontId="6" fillId="25" borderId="11" xfId="0" applyFont="1" applyFill="1" applyBorder="1" applyProtection="1">
      <protection locked="0"/>
    </xf>
    <xf numFmtId="168" fontId="6" fillId="25" borderId="20" xfId="0" applyNumberFormat="1" applyFont="1" applyFill="1" applyBorder="1" applyProtection="1">
      <protection locked="0"/>
    </xf>
    <xf numFmtId="168" fontId="6" fillId="25" borderId="42" xfId="0" applyNumberFormat="1" applyFont="1" applyFill="1" applyBorder="1" applyProtection="1">
      <protection locked="0"/>
    </xf>
    <xf numFmtId="168" fontId="6" fillId="25" borderId="21" xfId="0" applyNumberFormat="1" applyFont="1" applyFill="1" applyBorder="1" applyProtection="1">
      <protection locked="0"/>
    </xf>
    <xf numFmtId="171" fontId="6" fillId="25" borderId="31" xfId="0" applyNumberFormat="1" applyFont="1" applyFill="1" applyBorder="1" applyProtection="1">
      <protection locked="0"/>
    </xf>
    <xf numFmtId="171" fontId="6" fillId="25" borderId="0" xfId="0" applyNumberFormat="1" applyFont="1" applyFill="1" applyBorder="1" applyProtection="1">
      <protection locked="0"/>
    </xf>
    <xf numFmtId="171" fontId="6" fillId="25" borderId="20" xfId="0" applyNumberFormat="1" applyFont="1" applyFill="1" applyBorder="1" applyAlignment="1" applyProtection="1">
      <alignment vertical="top"/>
      <protection locked="0"/>
    </xf>
    <xf numFmtId="171" fontId="6" fillId="25" borderId="31" xfId="0" applyNumberFormat="1" applyFont="1" applyFill="1" applyBorder="1" applyAlignment="1" applyProtection="1">
      <alignment vertical="top"/>
      <protection locked="0"/>
    </xf>
    <xf numFmtId="171" fontId="6" fillId="25" borderId="21" xfId="0" applyNumberFormat="1" applyFont="1" applyFill="1" applyBorder="1" applyAlignment="1" applyProtection="1">
      <alignment vertical="top"/>
      <protection locked="0"/>
    </xf>
    <xf numFmtId="171" fontId="6" fillId="25" borderId="42" xfId="0" applyNumberFormat="1" applyFont="1" applyFill="1" applyBorder="1" applyAlignment="1" applyProtection="1">
      <alignment vertical="top"/>
      <protection locked="0"/>
    </xf>
    <xf numFmtId="0" fontId="7" fillId="25" borderId="21" xfId="0" applyFont="1" applyFill="1" applyBorder="1" applyAlignment="1" applyProtection="1">
      <alignment horizontal="center"/>
      <protection locked="0"/>
    </xf>
    <xf numFmtId="0" fontId="7" fillId="25" borderId="20" xfId="28" applyNumberFormat="1" applyFont="1" applyFill="1" applyBorder="1" applyAlignment="1" applyProtection="1">
      <alignment horizontal="center"/>
      <protection locked="0"/>
    </xf>
    <xf numFmtId="0" fontId="10" fillId="25" borderId="20" xfId="0" applyFont="1" applyFill="1" applyBorder="1" applyAlignment="1" applyProtection="1">
      <alignment horizontal="center"/>
      <protection locked="0"/>
    </xf>
    <xf numFmtId="0" fontId="10" fillId="25" borderId="42" xfId="0" applyFont="1" applyFill="1" applyBorder="1" applyAlignment="1" applyProtection="1">
      <alignment horizontal="center"/>
      <protection locked="0"/>
    </xf>
    <xf numFmtId="0" fontId="7" fillId="25" borderId="42" xfId="0" applyFont="1" applyFill="1" applyBorder="1" applyAlignment="1" applyProtection="1">
      <alignment horizontal="center"/>
      <protection locked="0"/>
    </xf>
    <xf numFmtId="0" fontId="7" fillId="25" borderId="11" xfId="0" applyFont="1" applyFill="1" applyBorder="1" applyAlignment="1" applyProtection="1">
      <alignment horizontal="left"/>
      <protection locked="0"/>
    </xf>
    <xf numFmtId="0" fontId="6" fillId="25" borderId="20" xfId="28" applyNumberFormat="1" applyFont="1" applyFill="1" applyBorder="1" applyAlignment="1" applyProtection="1">
      <alignment horizontal="center"/>
      <protection locked="0"/>
    </xf>
    <xf numFmtId="0" fontId="7" fillId="25" borderId="11" xfId="0" applyFont="1" applyFill="1" applyBorder="1" applyProtection="1">
      <protection locked="0"/>
    </xf>
    <xf numFmtId="168" fontId="6" fillId="25" borderId="29" xfId="0" applyNumberFormat="1" applyFont="1" applyFill="1" applyBorder="1" applyAlignment="1" applyProtection="1">
      <alignment horizontal="center"/>
      <protection locked="0"/>
    </xf>
    <xf numFmtId="168" fontId="6" fillId="25" borderId="20" xfId="0" applyNumberFormat="1" applyFont="1" applyFill="1" applyBorder="1" applyAlignment="1" applyProtection="1">
      <alignment horizontal="center"/>
      <protection locked="0"/>
    </xf>
    <xf numFmtId="0" fontId="6" fillId="0" borderId="10" xfId="0" applyFont="1" applyFill="1" applyBorder="1" applyAlignment="1" applyProtection="1">
      <alignment horizontal="center"/>
      <protection locked="0"/>
    </xf>
    <xf numFmtId="0" fontId="7" fillId="0" borderId="66" xfId="0" applyFont="1" applyFill="1" applyBorder="1" applyAlignment="1">
      <alignment horizontal="center" vertical="center" wrapText="1"/>
    </xf>
    <xf numFmtId="0" fontId="14" fillId="26" borderId="66" xfId="0" applyFont="1" applyFill="1" applyBorder="1"/>
    <xf numFmtId="0" fontId="14" fillId="26" borderId="67" xfId="0" applyFont="1" applyFill="1" applyBorder="1" applyAlignment="1">
      <alignment horizontal="left"/>
    </xf>
    <xf numFmtId="0" fontId="14" fillId="26" borderId="14" xfId="0" applyFont="1" applyFill="1" applyBorder="1" applyAlignment="1">
      <alignment horizontal="left"/>
    </xf>
    <xf numFmtId="0" fontId="14" fillId="26" borderId="66" xfId="0" applyFont="1" applyFill="1" applyBorder="1" applyAlignment="1">
      <alignment horizontal="left"/>
    </xf>
    <xf numFmtId="0" fontId="3" fillId="27" borderId="0" xfId="0" applyFont="1" applyFill="1"/>
    <xf numFmtId="0" fontId="2" fillId="0" borderId="10" xfId="0" applyFont="1" applyBorder="1"/>
    <xf numFmtId="0" fontId="2" fillId="0" borderId="47" xfId="0" applyFont="1" applyBorder="1"/>
    <xf numFmtId="0" fontId="15" fillId="0" borderId="0" xfId="0" applyFont="1"/>
    <xf numFmtId="0" fontId="2" fillId="0" borderId="15" xfId="0" applyFont="1" applyBorder="1"/>
    <xf numFmtId="0" fontId="16" fillId="0" borderId="0" xfId="0" applyFont="1"/>
    <xf numFmtId="0" fontId="9" fillId="0" borderId="10" xfId="0" applyFont="1" applyBorder="1"/>
    <xf numFmtId="0" fontId="10" fillId="25" borderId="10" xfId="0" applyFont="1" applyFill="1" applyBorder="1" applyAlignment="1" applyProtection="1">
      <alignment horizontal="left" indent="1"/>
      <protection locked="0"/>
    </xf>
    <xf numFmtId="0" fontId="6" fillId="25" borderId="10" xfId="0" applyFont="1" applyFill="1" applyBorder="1" applyProtection="1">
      <protection locked="0"/>
    </xf>
    <xf numFmtId="0" fontId="7" fillId="0" borderId="50" xfId="0" applyFont="1" applyBorder="1"/>
    <xf numFmtId="0" fontId="6" fillId="0" borderId="10" xfId="0" applyFont="1" applyBorder="1"/>
    <xf numFmtId="0" fontId="10" fillId="25" borderId="10" xfId="0" applyFont="1" applyFill="1" applyBorder="1" applyProtection="1">
      <protection locked="0"/>
    </xf>
    <xf numFmtId="0" fontId="7" fillId="0" borderId="32" xfId="0" applyFont="1" applyBorder="1"/>
    <xf numFmtId="0" fontId="7" fillId="0" borderId="44" xfId="0" applyFont="1" applyFill="1" applyBorder="1" applyAlignment="1" applyProtection="1">
      <alignment horizontal="center" vertical="center" wrapText="1"/>
    </xf>
    <xf numFmtId="0" fontId="9" fillId="0" borderId="68" xfId="0" applyFont="1" applyFill="1" applyBorder="1"/>
    <xf numFmtId="0" fontId="7" fillId="0" borderId="68" xfId="0" applyFont="1" applyFill="1" applyBorder="1"/>
    <xf numFmtId="0" fontId="6" fillId="0" borderId="15" xfId="0" applyFont="1" applyFill="1" applyBorder="1"/>
    <xf numFmtId="0" fontId="9" fillId="0" borderId="66" xfId="0" applyFont="1" applyFill="1" applyBorder="1"/>
    <xf numFmtId="0" fontId="8" fillId="0" borderId="11" xfId="0" applyFont="1" applyFill="1" applyBorder="1"/>
    <xf numFmtId="0" fontId="7" fillId="0" borderId="15" xfId="0" applyFont="1" applyFill="1" applyBorder="1"/>
    <xf numFmtId="0" fontId="9" fillId="0" borderId="11" xfId="0" applyFont="1" applyFill="1" applyBorder="1"/>
    <xf numFmtId="0" fontId="7" fillId="0" borderId="11" xfId="0" applyFont="1" applyFill="1" applyBorder="1" applyAlignment="1">
      <alignment horizontal="left" indent="1"/>
    </xf>
    <xf numFmtId="0" fontId="6" fillId="25" borderId="11" xfId="0" applyFont="1" applyFill="1" applyBorder="1" applyAlignment="1" applyProtection="1">
      <alignment horizontal="left" indent="1"/>
      <protection locked="0"/>
    </xf>
    <xf numFmtId="0" fontId="9" fillId="0" borderId="11" xfId="0" applyFont="1" applyBorder="1" applyAlignment="1">
      <alignment horizontal="left"/>
    </xf>
    <xf numFmtId="0" fontId="10" fillId="25" borderId="11" xfId="0" applyFont="1" applyFill="1" applyBorder="1" applyAlignment="1" applyProtection="1">
      <alignment vertical="top" wrapText="1"/>
      <protection locked="0"/>
    </xf>
    <xf numFmtId="0" fontId="6" fillId="0" borderId="15" xfId="0" applyFont="1" applyBorder="1" applyAlignment="1">
      <alignment horizontal="left" indent="1"/>
    </xf>
    <xf numFmtId="0" fontId="6" fillId="0" borderId="47" xfId="0" applyFont="1" applyBorder="1" applyAlignment="1">
      <alignment horizontal="center"/>
    </xf>
    <xf numFmtId="0" fontId="7" fillId="0" borderId="11" xfId="0" applyFont="1" applyFill="1" applyBorder="1" applyAlignment="1">
      <alignment horizontal="center" vertical="center" wrapText="1"/>
    </xf>
    <xf numFmtId="0" fontId="6" fillId="25" borderId="68" xfId="0" applyFont="1" applyFill="1" applyBorder="1" applyProtection="1">
      <protection locked="0"/>
    </xf>
    <xf numFmtId="0" fontId="6" fillId="0" borderId="58" xfId="0" applyFont="1" applyBorder="1" applyAlignment="1">
      <alignment horizontal="center" wrapText="1"/>
    </xf>
    <xf numFmtId="0" fontId="6" fillId="0" borderId="30" xfId="0" applyFont="1" applyFill="1" applyBorder="1" applyAlignment="1" applyProtection="1">
      <alignment horizontal="center"/>
      <protection locked="0"/>
    </xf>
    <xf numFmtId="0" fontId="6" fillId="0" borderId="21" xfId="0" applyFont="1" applyFill="1" applyBorder="1" applyAlignment="1" applyProtection="1">
      <alignment horizontal="center"/>
      <protection locked="0"/>
    </xf>
    <xf numFmtId="0" fontId="6" fillId="0" borderId="24" xfId="0" applyFont="1" applyBorder="1" applyAlignment="1">
      <alignment horizontal="center"/>
    </xf>
    <xf numFmtId="0" fontId="6" fillId="0" borderId="10" xfId="0" applyNumberFormat="1" applyFont="1" applyBorder="1" applyAlignment="1">
      <alignment horizontal="left" indent="1"/>
    </xf>
    <xf numFmtId="0" fontId="7" fillId="0" borderId="11" xfId="0" applyNumberFormat="1" applyFont="1" applyBorder="1" applyAlignment="1">
      <alignment horizontal="left" wrapText="1"/>
    </xf>
    <xf numFmtId="171" fontId="7" fillId="0" borderId="26" xfId="0" applyNumberFormat="1" applyFont="1" applyBorder="1" applyAlignment="1">
      <alignment vertical="top"/>
    </xf>
    <xf numFmtId="171" fontId="7" fillId="0" borderId="25" xfId="0" applyNumberFormat="1" applyFont="1" applyBorder="1" applyAlignment="1">
      <alignment vertical="top"/>
    </xf>
    <xf numFmtId="171" fontId="7" fillId="0" borderId="43" xfId="0" applyNumberFormat="1" applyFont="1" applyBorder="1" applyAlignment="1">
      <alignment vertical="top"/>
    </xf>
    <xf numFmtId="0" fontId="6" fillId="0" borderId="10" xfId="0" applyFont="1" applyFill="1" applyBorder="1" applyAlignment="1">
      <alignment horizontal="left" indent="1"/>
    </xf>
    <xf numFmtId="0" fontId="8" fillId="0" borderId="10" xfId="0" applyFont="1" applyFill="1" applyBorder="1"/>
    <xf numFmtId="0" fontId="7" fillId="0" borderId="10" xfId="0" applyFont="1" applyFill="1" applyBorder="1"/>
    <xf numFmtId="0" fontId="6" fillId="0" borderId="53" xfId="0" applyFont="1" applyFill="1" applyBorder="1" applyAlignment="1">
      <alignment horizontal="left" indent="1"/>
    </xf>
    <xf numFmtId="0" fontId="6" fillId="0" borderId="11" xfId="0" applyNumberFormat="1" applyFont="1" applyFill="1" applyBorder="1" applyAlignment="1">
      <alignment horizontal="left" indent="1"/>
    </xf>
    <xf numFmtId="0" fontId="6" fillId="0" borderId="11" xfId="0" applyNumberFormat="1" applyFont="1" applyBorder="1" applyAlignment="1">
      <alignment horizontal="left" indent="1"/>
    </xf>
    <xf numFmtId="0" fontId="9" fillId="0" borderId="68" xfId="0" applyFont="1" applyBorder="1" applyProtection="1"/>
    <xf numFmtId="0" fontId="6" fillId="0" borderId="10" xfId="0" applyFont="1" applyBorder="1" applyAlignment="1" applyProtection="1">
      <alignment horizontal="center"/>
    </xf>
    <xf numFmtId="0" fontId="9" fillId="0" borderId="10" xfId="0" applyFont="1" applyBorder="1" applyAlignment="1" applyProtection="1">
      <alignment horizontal="center"/>
    </xf>
    <xf numFmtId="0" fontId="6" fillId="0" borderId="10" xfId="0" applyFont="1" applyBorder="1" applyAlignment="1" applyProtection="1">
      <alignment horizontal="center" vertical="top"/>
    </xf>
    <xf numFmtId="0" fontId="7" fillId="0" borderId="11" xfId="0" applyFont="1" applyBorder="1" applyAlignment="1">
      <alignment horizontal="left"/>
    </xf>
    <xf numFmtId="171" fontId="7" fillId="0" borderId="29" xfId="0" applyNumberFormat="1" applyFont="1" applyFill="1" applyBorder="1" applyAlignment="1">
      <alignment horizontal="right"/>
    </xf>
    <xf numFmtId="171" fontId="7" fillId="0" borderId="61" xfId="0" applyNumberFormat="1" applyFont="1" applyFill="1" applyBorder="1"/>
    <xf numFmtId="171" fontId="7" fillId="0" borderId="68" xfId="0" applyNumberFormat="1" applyFont="1" applyFill="1" applyBorder="1"/>
    <xf numFmtId="171" fontId="7" fillId="0" borderId="29" xfId="0" applyNumberFormat="1" applyFont="1" applyFill="1" applyBorder="1"/>
    <xf numFmtId="171" fontId="7" fillId="0" borderId="69" xfId="0" applyNumberFormat="1" applyFont="1" applyFill="1" applyBorder="1"/>
    <xf numFmtId="0" fontId="6" fillId="0" borderId="21" xfId="0" applyFont="1" applyBorder="1" applyAlignment="1">
      <alignment horizontal="center"/>
    </xf>
    <xf numFmtId="0" fontId="6" fillId="0" borderId="11" xfId="0" applyFont="1" applyBorder="1" applyAlignment="1">
      <alignment horizontal="center"/>
    </xf>
    <xf numFmtId="171" fontId="7" fillId="0" borderId="54" xfId="0" applyNumberFormat="1" applyFont="1" applyFill="1" applyBorder="1" applyAlignment="1">
      <alignment horizontal="right"/>
    </xf>
    <xf numFmtId="171" fontId="7" fillId="0" borderId="20" xfId="0" applyNumberFormat="1" applyFont="1" applyFill="1" applyBorder="1" applyAlignment="1">
      <alignment horizontal="right"/>
    </xf>
    <xf numFmtId="171" fontId="7" fillId="0" borderId="0" xfId="0" applyNumberFormat="1" applyFont="1" applyFill="1" applyBorder="1"/>
    <xf numFmtId="171" fontId="7" fillId="0" borderId="11" xfId="0" applyNumberFormat="1" applyFont="1" applyFill="1" applyBorder="1"/>
    <xf numFmtId="171" fontId="7" fillId="0" borderId="20" xfId="0" applyNumberFormat="1" applyFont="1" applyFill="1" applyBorder="1"/>
    <xf numFmtId="171" fontId="7" fillId="0" borderId="12" xfId="0" applyNumberFormat="1" applyFont="1" applyFill="1" applyBorder="1"/>
    <xf numFmtId="171" fontId="7" fillId="0" borderId="29" xfId="0" applyNumberFormat="1" applyFont="1" applyFill="1" applyBorder="1" applyAlignment="1">
      <alignment horizontal="center"/>
    </xf>
    <xf numFmtId="171" fontId="7" fillId="0" borderId="69" xfId="0" applyNumberFormat="1" applyFont="1" applyFill="1" applyBorder="1" applyAlignment="1">
      <alignment horizontal="right"/>
    </xf>
    <xf numFmtId="171" fontId="7" fillId="0" borderId="68" xfId="0" applyNumberFormat="1" applyFont="1" applyFill="1" applyBorder="1" applyAlignment="1">
      <alignment horizontal="right"/>
    </xf>
    <xf numFmtId="171" fontId="7" fillId="0" borderId="61" xfId="0" applyNumberFormat="1" applyFont="1" applyFill="1" applyBorder="1" applyAlignment="1">
      <alignment horizontal="right"/>
    </xf>
    <xf numFmtId="0" fontId="6" fillId="0" borderId="58" xfId="0" applyFont="1" applyBorder="1" applyAlignment="1">
      <alignment horizontal="center"/>
    </xf>
    <xf numFmtId="171" fontId="7" fillId="0" borderId="49" xfId="0" applyNumberFormat="1" applyFont="1" applyFill="1" applyBorder="1"/>
    <xf numFmtId="171" fontId="7" fillId="0" borderId="42" xfId="0" applyNumberFormat="1" applyFont="1" applyFill="1" applyBorder="1"/>
    <xf numFmtId="171" fontId="7" fillId="0" borderId="49" xfId="0" applyNumberFormat="1" applyFont="1" applyFill="1" applyBorder="1" applyAlignment="1">
      <alignment horizontal="right"/>
    </xf>
    <xf numFmtId="0" fontId="6" fillId="0" borderId="11" xfId="0" applyFont="1" applyBorder="1" applyAlignment="1">
      <alignment horizontal="left" indent="2"/>
    </xf>
    <xf numFmtId="0" fontId="6" fillId="0" borderId="70" xfId="0" applyFont="1" applyBorder="1" applyAlignment="1">
      <alignment horizontal="center"/>
    </xf>
    <xf numFmtId="0" fontId="7" fillId="0" borderId="11" xfId="0" applyFont="1" applyBorder="1" applyAlignment="1">
      <alignment horizontal="left" indent="1"/>
    </xf>
    <xf numFmtId="0" fontId="7" fillId="0" borderId="57" xfId="0" applyFont="1" applyBorder="1"/>
    <xf numFmtId="0" fontId="9" fillId="0" borderId="11" xfId="0" applyNumberFormat="1" applyFont="1" applyBorder="1"/>
    <xf numFmtId="0" fontId="6" fillId="0" borderId="20" xfId="0" applyNumberFormat="1" applyFont="1" applyBorder="1" applyAlignment="1">
      <alignment horizontal="center"/>
    </xf>
    <xf numFmtId="0" fontId="10" fillId="0" borderId="11" xfId="0" applyNumberFormat="1" applyFont="1" applyBorder="1" applyAlignment="1">
      <alignment horizontal="left" indent="2"/>
    </xf>
    <xf numFmtId="171" fontId="6" fillId="25" borderId="12" xfId="0" applyNumberFormat="1" applyFont="1" applyFill="1" applyBorder="1" applyProtection="1">
      <protection locked="0"/>
    </xf>
    <xf numFmtId="171" fontId="6" fillId="25" borderId="11" xfId="0" applyNumberFormat="1" applyFont="1" applyFill="1" applyBorder="1" applyProtection="1">
      <protection locked="0"/>
    </xf>
    <xf numFmtId="171" fontId="6" fillId="25" borderId="54" xfId="0" applyNumberFormat="1" applyFont="1" applyFill="1" applyBorder="1" applyProtection="1">
      <protection locked="0"/>
    </xf>
    <xf numFmtId="0" fontId="6" fillId="0" borderId="11" xfId="0" applyNumberFormat="1" applyFont="1" applyBorder="1"/>
    <xf numFmtId="171" fontId="6" fillId="0" borderId="12" xfId="0" applyNumberFormat="1" applyFont="1" applyBorder="1"/>
    <xf numFmtId="171" fontId="6" fillId="0" borderId="11" xfId="0" applyNumberFormat="1" applyFont="1" applyBorder="1"/>
    <xf numFmtId="0" fontId="6" fillId="0" borderId="21" xfId="0" applyNumberFormat="1" applyFont="1" applyBorder="1" applyAlignment="1">
      <alignment horizontal="center"/>
    </xf>
    <xf numFmtId="0" fontId="6" fillId="0" borderId="21" xfId="0" applyNumberFormat="1" applyFont="1" applyFill="1" applyBorder="1" applyAlignment="1">
      <alignment horizontal="center"/>
    </xf>
    <xf numFmtId="171" fontId="7" fillId="25" borderId="29" xfId="0" applyNumberFormat="1" applyFont="1" applyFill="1" applyBorder="1" applyProtection="1">
      <protection locked="0"/>
    </xf>
    <xf numFmtId="171" fontId="7" fillId="25" borderId="69" xfId="0" applyNumberFormat="1" applyFont="1" applyFill="1" applyBorder="1" applyProtection="1">
      <protection locked="0"/>
    </xf>
    <xf numFmtId="171" fontId="7" fillId="25" borderId="68" xfId="0" applyNumberFormat="1" applyFont="1" applyFill="1" applyBorder="1" applyProtection="1">
      <protection locked="0"/>
    </xf>
    <xf numFmtId="171" fontId="7" fillId="25" borderId="61" xfId="0" applyNumberFormat="1" applyFont="1" applyFill="1" applyBorder="1" applyProtection="1">
      <protection locked="0"/>
    </xf>
    <xf numFmtId="171" fontId="7" fillId="25" borderId="59" xfId="0" applyNumberFormat="1" applyFont="1" applyFill="1" applyBorder="1" applyProtection="1">
      <protection locked="0"/>
    </xf>
    <xf numFmtId="171" fontId="7" fillId="25" borderId="71" xfId="0" applyNumberFormat="1" applyFont="1" applyFill="1" applyBorder="1" applyProtection="1">
      <protection locked="0"/>
    </xf>
    <xf numFmtId="171" fontId="7" fillId="25" borderId="57" xfId="0" applyNumberFormat="1" applyFont="1" applyFill="1" applyBorder="1" applyProtection="1">
      <protection locked="0"/>
    </xf>
    <xf numFmtId="171" fontId="7" fillId="25" borderId="62" xfId="0" applyNumberFormat="1" applyFont="1" applyFill="1" applyBorder="1" applyProtection="1">
      <protection locked="0"/>
    </xf>
    <xf numFmtId="171" fontId="7" fillId="0" borderId="12" xfId="0" applyNumberFormat="1" applyFont="1" applyBorder="1"/>
    <xf numFmtId="171" fontId="7" fillId="0" borderId="11" xfId="0" applyNumberFormat="1" applyFont="1" applyBorder="1"/>
    <xf numFmtId="171" fontId="6" fillId="25" borderId="29" xfId="0" applyNumberFormat="1" applyFont="1" applyFill="1" applyBorder="1" applyProtection="1">
      <protection locked="0"/>
    </xf>
    <xf numFmtId="171" fontId="6" fillId="25" borderId="69" xfId="0" applyNumberFormat="1" applyFont="1" applyFill="1" applyBorder="1" applyProtection="1">
      <protection locked="0"/>
    </xf>
    <xf numFmtId="171" fontId="6" fillId="25" borderId="68" xfId="0" applyNumberFormat="1" applyFont="1" applyFill="1" applyBorder="1" applyProtection="1">
      <protection locked="0"/>
    </xf>
    <xf numFmtId="171" fontId="6" fillId="25" borderId="61" xfId="0" applyNumberFormat="1" applyFont="1" applyFill="1" applyBorder="1" applyProtection="1">
      <protection locked="0"/>
    </xf>
    <xf numFmtId="171" fontId="6" fillId="25" borderId="71" xfId="0" applyNumberFormat="1" applyFont="1" applyFill="1" applyBorder="1" applyProtection="1">
      <protection locked="0"/>
    </xf>
    <xf numFmtId="171" fontId="6" fillId="25" borderId="57" xfId="0" applyNumberFormat="1" applyFont="1" applyFill="1" applyBorder="1" applyProtection="1">
      <protection locked="0"/>
    </xf>
    <xf numFmtId="171" fontId="6" fillId="25" borderId="62" xfId="0" applyNumberFormat="1" applyFont="1" applyFill="1" applyBorder="1" applyProtection="1">
      <protection locked="0"/>
    </xf>
    <xf numFmtId="0" fontId="10" fillId="0" borderId="11" xfId="0" applyNumberFormat="1" applyFont="1" applyBorder="1"/>
    <xf numFmtId="0" fontId="10" fillId="25" borderId="11" xfId="0" applyNumberFormat="1" applyFont="1" applyFill="1" applyBorder="1" applyAlignment="1" applyProtection="1">
      <alignment horizontal="left" indent="1"/>
      <protection locked="0"/>
    </xf>
    <xf numFmtId="0" fontId="6" fillId="0" borderId="66" xfId="0" applyFont="1" applyBorder="1" applyAlignment="1">
      <alignment horizontal="center"/>
    </xf>
    <xf numFmtId="0" fontId="9" fillId="0" borderId="66" xfId="0" applyFont="1" applyBorder="1"/>
    <xf numFmtId="0" fontId="6" fillId="0" borderId="14" xfId="0" applyFont="1" applyBorder="1" applyAlignment="1">
      <alignment horizontal="center"/>
    </xf>
    <xf numFmtId="171" fontId="7" fillId="0" borderId="34" xfId="0" applyNumberFormat="1" applyFont="1" applyBorder="1"/>
    <xf numFmtId="171" fontId="7" fillId="0" borderId="33" xfId="0" applyNumberFormat="1" applyFont="1" applyBorder="1"/>
    <xf numFmtId="171" fontId="7" fillId="0" borderId="41" xfId="0" applyNumberFormat="1" applyFont="1" applyBorder="1"/>
    <xf numFmtId="0" fontId="6" fillId="0" borderId="11" xfId="0" applyNumberFormat="1" applyFont="1" applyBorder="1" applyAlignment="1">
      <alignment horizontal="center"/>
    </xf>
    <xf numFmtId="0" fontId="6" fillId="0" borderId="22" xfId="0" applyFont="1" applyBorder="1" applyAlignment="1">
      <alignment horizontal="center"/>
    </xf>
    <xf numFmtId="171" fontId="7" fillId="25" borderId="30" xfId="0" applyNumberFormat="1" applyFont="1" applyFill="1" applyBorder="1" applyProtection="1">
      <protection locked="0"/>
    </xf>
    <xf numFmtId="171" fontId="7" fillId="25" borderId="58" xfId="0" applyNumberFormat="1" applyFont="1" applyFill="1" applyBorder="1" applyProtection="1">
      <protection locked="0"/>
    </xf>
    <xf numFmtId="171" fontId="6" fillId="25" borderId="30" xfId="0" applyNumberFormat="1" applyFont="1" applyFill="1" applyBorder="1" applyProtection="1">
      <protection locked="0"/>
    </xf>
    <xf numFmtId="0" fontId="6" fillId="0" borderId="11" xfId="0" applyNumberFormat="1" applyFont="1" applyFill="1" applyBorder="1" applyAlignment="1">
      <alignment horizontal="center"/>
    </xf>
    <xf numFmtId="0" fontId="7" fillId="0" borderId="68" xfId="0" applyFont="1" applyBorder="1"/>
    <xf numFmtId="171" fontId="7" fillId="0" borderId="46" xfId="0" applyNumberFormat="1" applyFont="1" applyBorder="1"/>
    <xf numFmtId="171" fontId="7" fillId="0" borderId="72" xfId="0" applyNumberFormat="1" applyFont="1" applyBorder="1"/>
    <xf numFmtId="0" fontId="6" fillId="0" borderId="67" xfId="0" applyFont="1" applyBorder="1"/>
    <xf numFmtId="0" fontId="6" fillId="0" borderId="67" xfId="0" applyFont="1" applyBorder="1" applyAlignment="1">
      <alignment horizontal="center"/>
    </xf>
    <xf numFmtId="171" fontId="6" fillId="0" borderId="67" xfId="0" applyNumberFormat="1" applyFont="1" applyBorder="1"/>
    <xf numFmtId="0" fontId="5" fillId="0" borderId="13" xfId="0" applyFont="1" applyFill="1" applyBorder="1" applyAlignment="1">
      <alignment horizontal="left"/>
    </xf>
    <xf numFmtId="49" fontId="7" fillId="0" borderId="34" xfId="0" applyNumberFormat="1" applyFont="1" applyFill="1" applyBorder="1" applyAlignment="1">
      <alignment horizontal="center" vertical="center" wrapText="1"/>
    </xf>
    <xf numFmtId="0" fontId="7" fillId="0" borderId="33" xfId="0" applyFont="1" applyFill="1" applyBorder="1" applyAlignment="1">
      <alignment vertical="center"/>
    </xf>
    <xf numFmtId="0" fontId="7" fillId="0" borderId="35" xfId="0" applyFont="1" applyFill="1" applyBorder="1" applyAlignment="1">
      <alignment horizontal="center" vertical="center"/>
    </xf>
    <xf numFmtId="0" fontId="7" fillId="0" borderId="35" xfId="0" applyFont="1" applyFill="1" applyBorder="1" applyAlignment="1">
      <alignment horizontal="center" vertical="center" wrapText="1"/>
    </xf>
    <xf numFmtId="0" fontId="7" fillId="0" borderId="73"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1" xfId="0" applyNumberFormat="1" applyFont="1" applyFill="1" applyBorder="1"/>
    <xf numFmtId="172" fontId="6" fillId="0" borderId="20" xfId="28" applyNumberFormat="1" applyFont="1" applyBorder="1"/>
    <xf numFmtId="172" fontId="6" fillId="0" borderId="12" xfId="28" applyNumberFormat="1" applyFont="1" applyBorder="1"/>
    <xf numFmtId="172" fontId="6" fillId="0" borderId="11" xfId="28" applyNumberFormat="1" applyFont="1" applyBorder="1"/>
    <xf numFmtId="172" fontId="6" fillId="0" borderId="42" xfId="28" applyNumberFormat="1" applyFont="1" applyBorder="1"/>
    <xf numFmtId="172" fontId="6" fillId="0" borderId="0" xfId="28" applyNumberFormat="1" applyFont="1" applyBorder="1"/>
    <xf numFmtId="172" fontId="6" fillId="25" borderId="20" xfId="28" applyNumberFormat="1" applyFont="1" applyFill="1" applyBorder="1" applyProtection="1">
      <protection locked="0"/>
    </xf>
    <xf numFmtId="172" fontId="6" fillId="25" borderId="12" xfId="28" applyNumberFormat="1" applyFont="1" applyFill="1" applyBorder="1" applyProtection="1">
      <protection locked="0"/>
    </xf>
    <xf numFmtId="172" fontId="6" fillId="25" borderId="11" xfId="28" applyNumberFormat="1" applyFont="1" applyFill="1" applyBorder="1" applyProtection="1">
      <protection locked="0"/>
    </xf>
    <xf numFmtId="172" fontId="6" fillId="25" borderId="42" xfId="28" applyNumberFormat="1" applyFont="1" applyFill="1" applyBorder="1" applyProtection="1">
      <protection locked="0"/>
    </xf>
    <xf numFmtId="172" fontId="6" fillId="25" borderId="0" xfId="28" applyNumberFormat="1" applyFont="1" applyFill="1" applyBorder="1" applyProtection="1">
      <protection locked="0"/>
    </xf>
    <xf numFmtId="172" fontId="10" fillId="0" borderId="20" xfId="28" applyNumberFormat="1" applyFont="1" applyFill="1" applyBorder="1" applyProtection="1"/>
    <xf numFmtId="172" fontId="10" fillId="0" borderId="12" xfId="28" applyNumberFormat="1" applyFont="1" applyFill="1" applyBorder="1" applyProtection="1"/>
    <xf numFmtId="172" fontId="10" fillId="0" borderId="11" xfId="28" applyNumberFormat="1" applyFont="1" applyFill="1" applyBorder="1" applyProtection="1"/>
    <xf numFmtId="172" fontId="10" fillId="0" borderId="42" xfId="28" applyNumberFormat="1" applyFont="1" applyFill="1" applyBorder="1" applyProtection="1"/>
    <xf numFmtId="172" fontId="10" fillId="0" borderId="0" xfId="28" applyNumberFormat="1" applyFont="1" applyFill="1" applyBorder="1" applyProtection="1"/>
    <xf numFmtId="172" fontId="7" fillId="0" borderId="23" xfId="28" applyNumberFormat="1" applyFont="1" applyBorder="1"/>
    <xf numFmtId="172" fontId="7" fillId="0" borderId="27" xfId="28" applyNumberFormat="1" applyFont="1" applyBorder="1"/>
    <xf numFmtId="172" fontId="7" fillId="0" borderId="24" xfId="28" applyNumberFormat="1" applyFont="1" applyBorder="1"/>
    <xf numFmtId="172" fontId="7" fillId="0" borderId="51" xfId="28" applyNumberFormat="1" applyFont="1" applyBorder="1"/>
    <xf numFmtId="172" fontId="7" fillId="0" borderId="74" xfId="28" applyNumberFormat="1" applyFont="1" applyBorder="1"/>
    <xf numFmtId="173" fontId="7" fillId="0" borderId="20" xfId="28" applyNumberFormat="1" applyFont="1" applyBorder="1"/>
    <xf numFmtId="173" fontId="6" fillId="0" borderId="33" xfId="41" applyNumberFormat="1" applyFont="1" applyBorder="1" applyAlignment="1">
      <alignment horizontal="center"/>
    </xf>
    <xf numFmtId="173" fontId="6" fillId="0" borderId="41" xfId="41" applyNumberFormat="1" applyFont="1" applyBorder="1" applyAlignment="1">
      <alignment horizontal="center"/>
    </xf>
    <xf numFmtId="173" fontId="6" fillId="0" borderId="11" xfId="41" applyNumberFormat="1" applyFont="1" applyBorder="1" applyAlignment="1">
      <alignment horizontal="center"/>
    </xf>
    <xf numFmtId="173" fontId="6" fillId="0" borderId="20" xfId="41" applyNumberFormat="1" applyFont="1" applyBorder="1" applyAlignment="1">
      <alignment horizontal="center"/>
    </xf>
    <xf numFmtId="173" fontId="6" fillId="0" borderId="42" xfId="41" applyNumberFormat="1" applyFont="1" applyBorder="1" applyAlignment="1">
      <alignment horizontal="center"/>
    </xf>
    <xf numFmtId="173" fontId="6" fillId="0" borderId="0" xfId="41" applyNumberFormat="1" applyFont="1" applyBorder="1" applyAlignment="1">
      <alignment horizontal="center"/>
    </xf>
    <xf numFmtId="173" fontId="6" fillId="0" borderId="12" xfId="41" applyNumberFormat="1" applyFont="1" applyBorder="1" applyAlignment="1">
      <alignment horizontal="center"/>
    </xf>
    <xf numFmtId="172" fontId="7" fillId="25" borderId="20" xfId="28" applyNumberFormat="1" applyFont="1" applyFill="1" applyBorder="1" applyProtection="1">
      <protection locked="0"/>
    </xf>
    <xf numFmtId="172" fontId="7" fillId="25" borderId="20" xfId="28" applyNumberFormat="1" applyFont="1" applyFill="1" applyBorder="1" applyAlignment="1" applyProtection="1">
      <alignment horizontal="center"/>
      <protection locked="0"/>
    </xf>
    <xf numFmtId="172" fontId="7" fillId="25" borderId="12" xfId="28" applyNumberFormat="1" applyFont="1" applyFill="1" applyBorder="1" applyAlignment="1" applyProtection="1">
      <alignment horizontal="center"/>
      <protection locked="0"/>
    </xf>
    <xf numFmtId="172" fontId="7" fillId="25" borderId="11" xfId="41" applyNumberFormat="1" applyFont="1" applyFill="1" applyBorder="1" applyAlignment="1" applyProtection="1">
      <alignment horizontal="center"/>
      <protection locked="0"/>
    </xf>
    <xf numFmtId="172" fontId="7" fillId="25" borderId="20" xfId="41" applyNumberFormat="1" applyFont="1" applyFill="1" applyBorder="1" applyAlignment="1" applyProtection="1">
      <alignment horizontal="center"/>
      <protection locked="0"/>
    </xf>
    <xf numFmtId="172" fontId="7" fillId="25" borderId="42" xfId="41" applyNumberFormat="1" applyFont="1" applyFill="1" applyBorder="1" applyAlignment="1" applyProtection="1">
      <alignment horizontal="center"/>
      <protection locked="0"/>
    </xf>
    <xf numFmtId="172" fontId="7" fillId="25" borderId="0" xfId="41" applyNumberFormat="1" applyFont="1" applyFill="1" applyBorder="1" applyAlignment="1" applyProtection="1">
      <alignment horizontal="center"/>
      <protection locked="0"/>
    </xf>
    <xf numFmtId="172" fontId="7" fillId="25" borderId="12" xfId="41" applyNumberFormat="1" applyFont="1" applyFill="1" applyBorder="1" applyAlignment="1" applyProtection="1">
      <alignment horizontal="center"/>
      <protection locked="0"/>
    </xf>
    <xf numFmtId="0" fontId="6" fillId="0" borderId="15" xfId="0" applyNumberFormat="1" applyFont="1" applyBorder="1" applyAlignment="1">
      <alignment horizontal="left" indent="1"/>
    </xf>
    <xf numFmtId="0" fontId="6" fillId="0" borderId="35" xfId="0" applyNumberFormat="1" applyFont="1" applyBorder="1" applyAlignment="1">
      <alignment horizontal="center"/>
    </xf>
    <xf numFmtId="172" fontId="7" fillId="25" borderId="35" xfId="28" applyNumberFormat="1" applyFont="1" applyFill="1" applyBorder="1" applyProtection="1">
      <protection locked="0"/>
    </xf>
    <xf numFmtId="172" fontId="7" fillId="25" borderId="35" xfId="28" applyNumberFormat="1" applyFont="1" applyFill="1" applyBorder="1" applyAlignment="1" applyProtection="1">
      <alignment horizontal="center"/>
      <protection locked="0"/>
    </xf>
    <xf numFmtId="172" fontId="7" fillId="25" borderId="16" xfId="28" applyNumberFormat="1" applyFont="1" applyFill="1" applyBorder="1" applyAlignment="1" applyProtection="1">
      <alignment horizontal="center"/>
      <protection locked="0"/>
    </xf>
    <xf numFmtId="172" fontId="7" fillId="25" borderId="15" xfId="41" applyNumberFormat="1" applyFont="1" applyFill="1" applyBorder="1" applyAlignment="1" applyProtection="1">
      <alignment horizontal="center"/>
      <protection locked="0"/>
    </xf>
    <xf numFmtId="172" fontId="7" fillId="25" borderId="35" xfId="41" applyNumberFormat="1" applyFont="1" applyFill="1" applyBorder="1" applyAlignment="1" applyProtection="1">
      <alignment horizontal="center"/>
      <protection locked="0"/>
    </xf>
    <xf numFmtId="172" fontId="7" fillId="25" borderId="48" xfId="41" applyNumberFormat="1" applyFont="1" applyFill="1" applyBorder="1" applyAlignment="1" applyProtection="1">
      <alignment horizontal="center"/>
      <protection locked="0"/>
    </xf>
    <xf numFmtId="172" fontId="7" fillId="25" borderId="13" xfId="41" applyNumberFormat="1" applyFont="1" applyFill="1" applyBorder="1" applyAlignment="1" applyProtection="1">
      <alignment horizontal="center"/>
      <protection locked="0"/>
    </xf>
    <xf numFmtId="172" fontId="7" fillId="25" borderId="16" xfId="41" applyNumberFormat="1" applyFont="1" applyFill="1" applyBorder="1" applyAlignment="1" applyProtection="1">
      <alignment horizontal="center"/>
      <protection locked="0"/>
    </xf>
    <xf numFmtId="0" fontId="6" fillId="0" borderId="0" xfId="0" applyNumberFormat="1" applyFont="1" applyBorder="1"/>
    <xf numFmtId="0" fontId="6" fillId="0" borderId="0" xfId="0" applyFont="1" applyBorder="1" applyAlignment="1" applyProtection="1">
      <alignment horizontal="center"/>
      <protection locked="0"/>
    </xf>
    <xf numFmtId="168" fontId="6" fillId="0" borderId="0" xfId="0" applyNumberFormat="1" applyFont="1" applyBorder="1" applyProtection="1">
      <protection locked="0"/>
    </xf>
    <xf numFmtId="0" fontId="6" fillId="0" borderId="0" xfId="0" applyFont="1" applyAlignment="1" applyProtection="1">
      <alignment horizontal="center"/>
      <protection locked="0"/>
    </xf>
    <xf numFmtId="0" fontId="6" fillId="0" borderId="0" xfId="0" applyFont="1" applyProtection="1">
      <protection locked="0"/>
    </xf>
    <xf numFmtId="0" fontId="7" fillId="0" borderId="10" xfId="0" applyNumberFormat="1" applyFont="1" applyBorder="1" applyAlignment="1">
      <alignment wrapText="1"/>
    </xf>
    <xf numFmtId="9" fontId="7" fillId="0" borderId="30" xfId="41" applyFont="1" applyFill="1" applyBorder="1" applyAlignment="1">
      <alignment horizontal="center" vertical="center" wrapText="1"/>
    </xf>
    <xf numFmtId="0" fontId="7" fillId="0" borderId="49" xfId="0" applyFont="1" applyFill="1" applyBorder="1" applyAlignment="1">
      <alignment horizontal="center" vertical="center" wrapText="1"/>
    </xf>
    <xf numFmtId="0" fontId="7" fillId="0" borderId="66" xfId="0" applyFont="1" applyFill="1" applyBorder="1" applyAlignment="1">
      <alignment horizontal="center" vertical="center"/>
    </xf>
    <xf numFmtId="0" fontId="7" fillId="0" borderId="66"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9" fontId="7" fillId="0" borderId="29" xfId="41" applyFont="1" applyFill="1" applyBorder="1" applyAlignment="1" applyProtection="1">
      <alignment horizontal="center" vertical="center" wrapText="1"/>
    </xf>
    <xf numFmtId="0" fontId="7" fillId="0" borderId="49"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9" fontId="7" fillId="0" borderId="30" xfId="41" applyFont="1" applyFill="1" applyBorder="1" applyAlignment="1" applyProtection="1">
      <alignment horizontal="center" vertical="center" wrapText="1"/>
    </xf>
    <xf numFmtId="0" fontId="7" fillId="0" borderId="14"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57" xfId="0" applyFont="1" applyFill="1" applyBorder="1" applyAlignment="1">
      <alignment horizontal="left" vertical="center" wrapText="1"/>
    </xf>
    <xf numFmtId="0" fontId="6" fillId="0" borderId="0" xfId="0" applyFont="1" applyAlignment="1" applyProtection="1"/>
    <xf numFmtId="0" fontId="7" fillId="0" borderId="15" xfId="0" applyFont="1" applyFill="1" applyBorder="1" applyAlignment="1">
      <alignment horizontal="left" vertical="center"/>
    </xf>
    <xf numFmtId="0" fontId="7" fillId="0" borderId="28" xfId="0" applyNumberFormat="1" applyFont="1" applyBorder="1" applyAlignment="1">
      <alignment horizontal="left" wrapText="1"/>
    </xf>
    <xf numFmtId="0" fontId="6" fillId="0" borderId="50" xfId="0" applyFont="1" applyBorder="1" applyAlignment="1" applyProtection="1">
      <alignment horizontal="center"/>
    </xf>
    <xf numFmtId="0" fontId="7" fillId="0" borderId="28" xfId="0" applyFont="1" applyBorder="1" applyProtection="1"/>
    <xf numFmtId="0" fontId="10" fillId="0" borderId="0" xfId="0" applyNumberFormat="1" applyFont="1" applyBorder="1" applyProtection="1"/>
    <xf numFmtId="0" fontId="10" fillId="0" borderId="0" xfId="0" applyFont="1" applyBorder="1" applyProtection="1"/>
    <xf numFmtId="0" fontId="6" fillId="0" borderId="0" xfId="0" applyFont="1" applyAlignment="1"/>
    <xf numFmtId="171" fontId="7" fillId="0" borderId="58" xfId="0" applyNumberFormat="1" applyFont="1" applyBorder="1"/>
    <xf numFmtId="171" fontId="7" fillId="0" borderId="59" xfId="0" applyNumberFormat="1" applyFont="1" applyBorder="1"/>
    <xf numFmtId="171" fontId="7" fillId="0" borderId="63" xfId="0" applyNumberFormat="1" applyFont="1" applyBorder="1"/>
    <xf numFmtId="0" fontId="6" fillId="0" borderId="70" xfId="0" applyFont="1" applyBorder="1" applyAlignment="1" applyProtection="1">
      <alignment horizontal="center"/>
    </xf>
    <xf numFmtId="0" fontId="17" fillId="0" borderId="0" xfId="38"/>
    <xf numFmtId="0" fontId="0" fillId="0" borderId="0" xfId="0" applyProtection="1">
      <protection locked="0"/>
    </xf>
    <xf numFmtId="0" fontId="10" fillId="0" borderId="11" xfId="0" applyNumberFormat="1" applyFont="1" applyFill="1" applyBorder="1" applyAlignment="1">
      <alignment horizontal="left" indent="2"/>
    </xf>
    <xf numFmtId="0" fontId="7" fillId="0" borderId="22" xfId="0" applyNumberFormat="1" applyFont="1" applyFill="1" applyBorder="1"/>
    <xf numFmtId="0" fontId="7" fillId="0" borderId="11" xfId="0" applyNumberFormat="1" applyFont="1" applyFill="1" applyBorder="1" applyAlignment="1">
      <alignment horizontal="left" indent="1"/>
    </xf>
    <xf numFmtId="171" fontId="7" fillId="0" borderId="21" xfId="0" applyNumberFormat="1" applyFont="1" applyFill="1" applyBorder="1"/>
    <xf numFmtId="171" fontId="7" fillId="0" borderId="30" xfId="0" applyNumberFormat="1" applyFont="1" applyBorder="1" applyAlignment="1">
      <alignment vertical="top"/>
    </xf>
    <xf numFmtId="171" fontId="7" fillId="0" borderId="29" xfId="0" applyNumberFormat="1" applyFont="1" applyBorder="1" applyAlignment="1">
      <alignment vertical="top"/>
    </xf>
    <xf numFmtId="171" fontId="7" fillId="0" borderId="49" xfId="0" applyNumberFormat="1" applyFont="1" applyBorder="1" applyAlignment="1">
      <alignment vertical="top"/>
    </xf>
    <xf numFmtId="0" fontId="0" fillId="0" borderId="0" xfId="0" applyProtection="1"/>
    <xf numFmtId="0" fontId="13" fillId="0" borderId="0" xfId="0" applyFont="1" applyProtection="1"/>
    <xf numFmtId="171" fontId="7" fillId="0" borderId="20" xfId="0" applyNumberFormat="1" applyFont="1" applyFill="1" applyBorder="1" applyProtection="1"/>
    <xf numFmtId="171" fontId="7" fillId="0" borderId="42" xfId="0" applyNumberFormat="1" applyFont="1" applyFill="1" applyBorder="1" applyProtection="1"/>
    <xf numFmtId="171" fontId="7" fillId="0" borderId="21" xfId="0" applyNumberFormat="1" applyFont="1" applyFill="1" applyBorder="1" applyProtection="1"/>
    <xf numFmtId="0" fontId="11" fillId="0" borderId="0" xfId="0" applyNumberFormat="1" applyFont="1" applyBorder="1" applyProtection="1"/>
    <xf numFmtId="0" fontId="10" fillId="0" borderId="0" xfId="0" applyNumberFormat="1" applyFont="1" applyProtection="1"/>
    <xf numFmtId="171" fontId="6" fillId="0" borderId="29" xfId="0" applyNumberFormat="1" applyFont="1" applyFill="1" applyBorder="1" applyProtection="1"/>
    <xf numFmtId="171" fontId="6" fillId="0" borderId="46" xfId="0" applyNumberFormat="1" applyFont="1" applyFill="1" applyBorder="1" applyProtection="1"/>
    <xf numFmtId="171" fontId="6" fillId="0" borderId="30" xfId="0" applyNumberFormat="1" applyFont="1" applyFill="1" applyBorder="1" applyProtection="1"/>
    <xf numFmtId="171" fontId="6" fillId="0" borderId="49" xfId="0" applyNumberFormat="1" applyFont="1" applyFill="1" applyBorder="1" applyProtection="1"/>
    <xf numFmtId="171" fontId="6" fillId="0" borderId="72" xfId="0" applyNumberFormat="1" applyFont="1" applyFill="1" applyBorder="1" applyProtection="1"/>
    <xf numFmtId="171" fontId="6" fillId="0" borderId="20" xfId="0" applyNumberFormat="1" applyFont="1" applyFill="1" applyBorder="1" applyProtection="1"/>
    <xf numFmtId="171" fontId="6" fillId="0" borderId="31" xfId="0" applyNumberFormat="1" applyFont="1" applyFill="1" applyBorder="1" applyProtection="1"/>
    <xf numFmtId="171" fontId="6" fillId="0" borderId="21" xfId="0" applyNumberFormat="1" applyFont="1" applyFill="1" applyBorder="1" applyProtection="1"/>
    <xf numFmtId="171" fontId="6" fillId="0" borderId="42" xfId="0" applyNumberFormat="1" applyFont="1" applyFill="1" applyBorder="1" applyProtection="1"/>
    <xf numFmtId="171" fontId="6" fillId="0" borderId="54" xfId="0" applyNumberFormat="1" applyFont="1" applyFill="1" applyBorder="1" applyProtection="1"/>
    <xf numFmtId="171" fontId="7" fillId="0" borderId="58" xfId="0" applyNumberFormat="1" applyFont="1" applyBorder="1" applyProtection="1"/>
    <xf numFmtId="171" fontId="7" fillId="0" borderId="59" xfId="0" applyNumberFormat="1" applyFont="1" applyBorder="1" applyProtection="1"/>
    <xf numFmtId="171" fontId="7" fillId="0" borderId="63" xfId="0" applyNumberFormat="1" applyFont="1" applyBorder="1" applyProtection="1"/>
    <xf numFmtId="0" fontId="2" fillId="25" borderId="18" xfId="0" applyFont="1" applyFill="1" applyBorder="1" applyProtection="1">
      <protection locked="0"/>
    </xf>
    <xf numFmtId="0" fontId="2" fillId="25" borderId="12" xfId="0" applyFont="1" applyFill="1" applyBorder="1" applyProtection="1">
      <protection locked="0"/>
    </xf>
    <xf numFmtId="0" fontId="0" fillId="25" borderId="0" xfId="0" applyFill="1" applyProtection="1">
      <protection locked="0"/>
    </xf>
    <xf numFmtId="0" fontId="1" fillId="25" borderId="0" xfId="0" applyFont="1" applyFill="1" applyProtection="1">
      <protection locked="0"/>
    </xf>
    <xf numFmtId="17" fontId="2" fillId="25" borderId="67" xfId="0" applyNumberFormat="1" applyFont="1" applyFill="1" applyBorder="1" applyProtection="1">
      <protection locked="0"/>
    </xf>
    <xf numFmtId="0" fontId="2" fillId="25" borderId="67" xfId="0" applyFont="1" applyFill="1" applyBorder="1" applyProtection="1">
      <protection locked="0"/>
    </xf>
    <xf numFmtId="0" fontId="2" fillId="25" borderId="0" xfId="0" quotePrefix="1" applyFont="1" applyFill="1" applyBorder="1" applyProtection="1">
      <protection locked="0"/>
    </xf>
    <xf numFmtId="0" fontId="2" fillId="25" borderId="0" xfId="0" applyFont="1" applyFill="1" applyBorder="1" applyProtection="1">
      <protection locked="0"/>
    </xf>
    <xf numFmtId="0" fontId="10" fillId="25" borderId="11" xfId="0" applyFont="1" applyFill="1" applyBorder="1" applyAlignment="1" applyProtection="1">
      <alignment horizontal="left" indent="1"/>
      <protection locked="0"/>
    </xf>
    <xf numFmtId="0" fontId="10" fillId="25" borderId="11" xfId="0" applyFont="1" applyFill="1" applyBorder="1" applyAlignment="1" applyProtection="1">
      <alignment horizontal="left" vertical="top" wrapText="1" indent="1"/>
      <protection locked="0"/>
    </xf>
    <xf numFmtId="9" fontId="6" fillId="25" borderId="0" xfId="41" applyFont="1" applyFill="1" applyBorder="1" applyAlignment="1" applyProtection="1">
      <alignment horizontal="center"/>
      <protection locked="0"/>
    </xf>
    <xf numFmtId="0" fontId="6" fillId="25" borderId="11" xfId="0" applyNumberFormat="1" applyFont="1" applyFill="1" applyBorder="1" applyAlignment="1" applyProtection="1">
      <alignment horizontal="left" indent="1"/>
      <protection locked="0"/>
    </xf>
    <xf numFmtId="0" fontId="10" fillId="25" borderId="10" xfId="0" applyFont="1" applyFill="1" applyBorder="1" applyAlignment="1" applyProtection="1">
      <alignment horizontal="left" vertical="top" wrapText="1" indent="1"/>
      <protection locked="0"/>
    </xf>
    <xf numFmtId="0" fontId="10" fillId="25" borderId="11" xfId="0" applyFont="1" applyFill="1" applyBorder="1" applyProtection="1">
      <protection locked="0"/>
    </xf>
    <xf numFmtId="0" fontId="7" fillId="0" borderId="10" xfId="0" applyNumberFormat="1" applyFont="1" applyBorder="1" applyAlignment="1">
      <alignment horizontal="left" wrapText="1"/>
    </xf>
    <xf numFmtId="0" fontId="6" fillId="0" borderId="10" xfId="0" applyNumberFormat="1" applyFont="1" applyFill="1" applyBorder="1" applyAlignment="1">
      <alignment horizontal="left" indent="1"/>
    </xf>
    <xf numFmtId="0" fontId="6" fillId="0" borderId="10" xfId="0" applyNumberFormat="1" applyFont="1" applyBorder="1" applyAlignment="1">
      <alignment horizontal="left" vertical="top" indent="1"/>
    </xf>
    <xf numFmtId="0" fontId="36" fillId="0" borderId="0" xfId="0" applyFont="1"/>
    <xf numFmtId="0" fontId="6" fillId="0" borderId="0" xfId="0" applyFont="1" applyFill="1"/>
    <xf numFmtId="168" fontId="7" fillId="0" borderId="0" xfId="0" applyNumberFormat="1" applyFont="1" applyFill="1" applyBorder="1"/>
    <xf numFmtId="171" fontId="7" fillId="0" borderId="30" xfId="0" applyNumberFormat="1" applyFont="1" applyFill="1" applyBorder="1"/>
    <xf numFmtId="171" fontId="7" fillId="0" borderId="26" xfId="0" applyNumberFormat="1" applyFont="1" applyFill="1" applyBorder="1" applyAlignment="1">
      <alignment horizontal="right"/>
    </xf>
    <xf numFmtId="171" fontId="6" fillId="25" borderId="10" xfId="0" applyNumberFormat="1" applyFont="1" applyFill="1" applyBorder="1" applyProtection="1">
      <protection locked="0"/>
    </xf>
    <xf numFmtId="0" fontId="10" fillId="25" borderId="11" xfId="0" applyFont="1" applyFill="1" applyBorder="1" applyAlignment="1" applyProtection="1">
      <alignment wrapText="1"/>
      <protection locked="0"/>
    </xf>
    <xf numFmtId="168" fontId="7" fillId="29" borderId="24" xfId="0" applyNumberFormat="1" applyFont="1" applyFill="1" applyBorder="1"/>
    <xf numFmtId="168" fontId="7" fillId="29" borderId="23" xfId="0" applyNumberFormat="1" applyFont="1" applyFill="1" applyBorder="1"/>
    <xf numFmtId="168" fontId="7" fillId="29" borderId="51" xfId="0" applyNumberFormat="1" applyFont="1" applyFill="1" applyBorder="1"/>
    <xf numFmtId="171" fontId="6" fillId="25" borderId="49" xfId="0" applyNumberFormat="1" applyFont="1" applyFill="1" applyBorder="1" applyProtection="1">
      <protection locked="0"/>
    </xf>
    <xf numFmtId="0" fontId="6" fillId="29" borderId="23" xfId="0" applyFont="1" applyFill="1" applyBorder="1" applyAlignment="1">
      <alignment horizontal="center"/>
    </xf>
    <xf numFmtId="9" fontId="6" fillId="29" borderId="21" xfId="0" applyNumberFormat="1" applyFont="1" applyFill="1" applyBorder="1" applyAlignment="1">
      <alignment horizontal="center" vertical="top" wrapText="1"/>
    </xf>
    <xf numFmtId="0" fontId="7" fillId="29" borderId="65" xfId="0" applyFont="1" applyFill="1" applyBorder="1" applyAlignment="1">
      <alignment horizontal="center"/>
    </xf>
    <xf numFmtId="0" fontId="7" fillId="29" borderId="23" xfId="0" applyFont="1" applyFill="1" applyBorder="1" applyAlignment="1">
      <alignment horizontal="center"/>
    </xf>
    <xf numFmtId="0" fontId="7" fillId="29" borderId="51" xfId="0" applyFont="1" applyFill="1" applyBorder="1" applyAlignment="1">
      <alignment horizontal="center"/>
    </xf>
    <xf numFmtId="171" fontId="7" fillId="0" borderId="32" xfId="0" applyNumberFormat="1" applyFont="1" applyBorder="1" applyProtection="1"/>
    <xf numFmtId="0" fontId="37" fillId="0" borderId="0" xfId="0" applyFont="1" applyAlignment="1">
      <alignment wrapText="1"/>
    </xf>
    <xf numFmtId="0" fontId="38" fillId="0" borderId="0" xfId="0" applyNumberFormat="1" applyFont="1" applyProtection="1"/>
    <xf numFmtId="0" fontId="38" fillId="0" borderId="0" xfId="0" applyFont="1" applyAlignment="1" applyProtection="1">
      <alignment vertical="center"/>
    </xf>
    <xf numFmtId="0" fontId="38" fillId="0" borderId="0" xfId="0" applyFont="1" applyProtection="1"/>
    <xf numFmtId="171" fontId="7" fillId="29" borderId="51" xfId="0" applyNumberFormat="1" applyFont="1" applyFill="1" applyBorder="1"/>
    <xf numFmtId="0" fontId="3" fillId="28" borderId="75" xfId="0" applyFont="1" applyFill="1" applyBorder="1" applyAlignment="1">
      <alignment horizontal="center"/>
    </xf>
    <xf numFmtId="0" fontId="3" fillId="28" borderId="76" xfId="0" applyFont="1" applyFill="1" applyBorder="1" applyAlignment="1">
      <alignment horizontal="center"/>
    </xf>
    <xf numFmtId="0" fontId="3" fillId="28" borderId="17" xfId="0" applyFont="1" applyFill="1" applyBorder="1" applyAlignment="1">
      <alignment horizontal="center"/>
    </xf>
    <xf numFmtId="0" fontId="3" fillId="24" borderId="75" xfId="0" applyFont="1" applyFill="1" applyBorder="1" applyAlignment="1">
      <alignment horizontal="center"/>
    </xf>
    <xf numFmtId="0" fontId="3" fillId="24" borderId="17" xfId="0" applyFont="1" applyFill="1" applyBorder="1" applyAlignment="1">
      <alignment horizontal="center"/>
    </xf>
    <xf numFmtId="0" fontId="10" fillId="0" borderId="0" xfId="0" quotePrefix="1" applyFont="1" applyBorder="1" applyAlignment="1" applyProtection="1">
      <alignment horizontal="left" wrapText="1"/>
    </xf>
    <xf numFmtId="0" fontId="7" fillId="0" borderId="66"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30" xfId="0" applyFont="1" applyFill="1" applyBorder="1" applyAlignment="1">
      <alignment horizontal="center" vertical="center" wrapText="1"/>
    </xf>
    <xf numFmtId="0" fontId="7" fillId="0" borderId="58"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59"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7" fillId="0" borderId="37" xfId="0" applyFont="1" applyFill="1" applyBorder="1" applyAlignment="1">
      <alignment horizontal="center" vertical="center" wrapText="1"/>
    </xf>
    <xf numFmtId="0" fontId="7" fillId="0" borderId="38" xfId="0" applyFont="1" applyFill="1" applyBorder="1" applyAlignment="1">
      <alignment horizontal="center" vertical="center" wrapText="1"/>
    </xf>
    <xf numFmtId="9" fontId="7" fillId="0" borderId="30" xfId="41" applyFont="1" applyFill="1" applyBorder="1" applyAlignment="1">
      <alignment horizontal="center" vertical="center" wrapText="1"/>
    </xf>
    <xf numFmtId="9" fontId="7" fillId="0" borderId="58" xfId="41" applyFont="1" applyFill="1" applyBorder="1" applyAlignment="1">
      <alignment horizontal="center" vertical="center" wrapText="1"/>
    </xf>
    <xf numFmtId="9" fontId="7" fillId="0" borderId="29" xfId="41" applyFont="1" applyFill="1" applyBorder="1" applyAlignment="1">
      <alignment horizontal="center" vertical="center" wrapText="1"/>
    </xf>
    <xf numFmtId="9" fontId="7" fillId="0" borderId="59" xfId="41" applyFont="1" applyFill="1" applyBorder="1" applyAlignment="1">
      <alignment horizontal="center" vertical="center" wrapText="1"/>
    </xf>
    <xf numFmtId="0" fontId="7" fillId="0" borderId="49" xfId="0" applyFont="1" applyFill="1" applyBorder="1" applyAlignment="1">
      <alignment horizontal="center" vertical="center" wrapText="1"/>
    </xf>
    <xf numFmtId="0" fontId="7" fillId="0" borderId="63" xfId="0" applyFont="1" applyFill="1" applyBorder="1" applyAlignment="1">
      <alignment horizontal="center" vertical="center" wrapText="1"/>
    </xf>
    <xf numFmtId="0" fontId="36" fillId="0" borderId="37" xfId="0" applyFont="1" applyBorder="1" applyAlignment="1">
      <alignment horizontal="center" vertical="center" wrapText="1"/>
    </xf>
    <xf numFmtId="0" fontId="36" fillId="0" borderId="38" xfId="0" applyFont="1" applyBorder="1" applyAlignment="1">
      <alignment horizontal="center" vertical="center" wrapText="1"/>
    </xf>
    <xf numFmtId="0" fontId="7" fillId="0" borderId="53" xfId="0" applyFont="1" applyFill="1" applyBorder="1" applyAlignment="1">
      <alignment horizontal="center" vertical="center"/>
    </xf>
    <xf numFmtId="0" fontId="7" fillId="0" borderId="66"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36" fillId="0" borderId="58" xfId="0" applyFont="1" applyBorder="1" applyAlignment="1">
      <alignment horizontal="center" vertical="center" wrapText="1"/>
    </xf>
    <xf numFmtId="0" fontId="7" fillId="0" borderId="64" xfId="0" applyFont="1" applyFill="1" applyBorder="1" applyAlignment="1">
      <alignment horizontal="center" vertical="center" wrapText="1"/>
    </xf>
    <xf numFmtId="0" fontId="7" fillId="0" borderId="77" xfId="0" applyFont="1" applyFill="1" applyBorder="1" applyAlignment="1">
      <alignment horizontal="center" vertical="center"/>
    </xf>
    <xf numFmtId="0" fontId="7" fillId="0" borderId="37" xfId="0" applyFont="1" applyFill="1" applyBorder="1" applyAlignment="1">
      <alignment horizontal="center" vertical="center"/>
    </xf>
    <xf numFmtId="0" fontId="7" fillId="0" borderId="38" xfId="0" applyFont="1" applyFill="1" applyBorder="1" applyAlignment="1">
      <alignment horizontal="center" vertical="center"/>
    </xf>
    <xf numFmtId="9" fontId="7" fillId="0" borderId="21" xfId="41" applyFont="1" applyFill="1" applyBorder="1" applyAlignment="1">
      <alignment horizontal="center" vertical="center" wrapText="1"/>
    </xf>
    <xf numFmtId="9" fontId="7" fillId="0" borderId="20" xfId="41" applyFont="1" applyFill="1" applyBorder="1" applyAlignment="1">
      <alignment horizontal="center" vertical="center" wrapText="1"/>
    </xf>
    <xf numFmtId="0" fontId="7" fillId="0" borderId="31" xfId="0" applyFont="1" applyFill="1" applyBorder="1" applyAlignment="1">
      <alignment horizontal="center" vertical="center" wrapText="1"/>
    </xf>
    <xf numFmtId="0" fontId="7" fillId="0" borderId="60" xfId="0" applyFont="1" applyFill="1" applyBorder="1" applyAlignment="1">
      <alignment horizontal="center" vertical="center" wrapText="1"/>
    </xf>
    <xf numFmtId="0" fontId="7" fillId="0" borderId="42" xfId="0" applyFont="1" applyFill="1" applyBorder="1" applyAlignment="1">
      <alignment horizontal="center" vertical="center" wrapText="1"/>
    </xf>
    <xf numFmtId="9" fontId="7" fillId="0" borderId="34" xfId="41" applyFont="1" applyFill="1" applyBorder="1" applyAlignment="1">
      <alignment horizontal="center" vertical="center" wrapText="1"/>
    </xf>
    <xf numFmtId="9" fontId="7" fillId="0" borderId="42" xfId="41" applyFont="1" applyFill="1" applyBorder="1" applyAlignment="1">
      <alignment horizontal="center" vertical="center" wrapText="1"/>
    </xf>
    <xf numFmtId="9" fontId="7" fillId="0" borderId="63" xfId="41" applyFont="1" applyFill="1" applyBorder="1" applyAlignment="1">
      <alignment horizontal="center" vertical="center" wrapText="1"/>
    </xf>
    <xf numFmtId="9" fontId="7" fillId="0" borderId="33" xfId="41" applyFont="1" applyFill="1" applyBorder="1" applyAlignment="1">
      <alignment horizontal="center" vertical="center" wrapText="1"/>
    </xf>
    <xf numFmtId="0" fontId="7" fillId="0" borderId="33"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41" xfId="0" applyFont="1" applyFill="1" applyBorder="1" applyAlignment="1">
      <alignment horizontal="center" vertical="center" wrapText="1"/>
    </xf>
    <xf numFmtId="0" fontId="7" fillId="0" borderId="53" xfId="0" applyFont="1" applyFill="1" applyBorder="1" applyAlignment="1">
      <alignment horizontal="center" vertical="center" wrapText="1"/>
    </xf>
    <xf numFmtId="0" fontId="7" fillId="0" borderId="72" xfId="0" applyFont="1" applyFill="1" applyBorder="1" applyAlignment="1">
      <alignment horizontal="center" vertical="center" wrapText="1"/>
    </xf>
    <xf numFmtId="0" fontId="7" fillId="0" borderId="78" xfId="0" applyFont="1" applyFill="1" applyBorder="1" applyAlignment="1">
      <alignment horizontal="center" vertical="center" wrapText="1"/>
    </xf>
    <xf numFmtId="0" fontId="7" fillId="0" borderId="46" xfId="0" applyFont="1" applyFill="1" applyBorder="1" applyAlignment="1">
      <alignment horizontal="center" vertical="center" wrapText="1"/>
    </xf>
    <xf numFmtId="9" fontId="7" fillId="0" borderId="46" xfId="41" applyFont="1" applyFill="1" applyBorder="1" applyAlignment="1">
      <alignment horizontal="center" vertical="center" wrapText="1"/>
    </xf>
    <xf numFmtId="9" fontId="7" fillId="0" borderId="60" xfId="41" applyFont="1" applyFill="1" applyBorder="1" applyAlignment="1">
      <alignment horizontal="center" vertical="center" wrapText="1"/>
    </xf>
    <xf numFmtId="9" fontId="7" fillId="0" borderId="70" xfId="41" applyFont="1" applyFill="1" applyBorder="1" applyAlignment="1">
      <alignment horizontal="center" vertical="center" wrapText="1"/>
    </xf>
    <xf numFmtId="9" fontId="7" fillId="0" borderId="53" xfId="41" applyFont="1" applyFill="1" applyBorder="1" applyAlignment="1">
      <alignment horizontal="center" vertical="center" wrapText="1"/>
    </xf>
    <xf numFmtId="0" fontId="7" fillId="0" borderId="33" xfId="0" applyFont="1" applyFill="1" applyBorder="1" applyAlignment="1">
      <alignment horizontal="center" vertical="top" wrapText="1"/>
    </xf>
    <xf numFmtId="0" fontId="7" fillId="0" borderId="20" xfId="0" applyFont="1" applyFill="1" applyBorder="1" applyAlignment="1">
      <alignment horizontal="center" vertical="top" wrapText="1"/>
    </xf>
    <xf numFmtId="0" fontId="7" fillId="0" borderId="59" xfId="0" applyFont="1" applyFill="1" applyBorder="1" applyAlignment="1">
      <alignment horizontal="center" vertical="top" wrapText="1"/>
    </xf>
    <xf numFmtId="0" fontId="7" fillId="0" borderId="41" xfId="0" applyFont="1" applyFill="1" applyBorder="1" applyAlignment="1">
      <alignment horizontal="center" vertical="top" wrapText="1"/>
    </xf>
    <xf numFmtId="0" fontId="7" fillId="0" borderId="42" xfId="0" applyFont="1" applyFill="1" applyBorder="1" applyAlignment="1">
      <alignment horizontal="center" vertical="top" wrapText="1"/>
    </xf>
    <xf numFmtId="0" fontId="7" fillId="0" borderId="63" xfId="0" applyFont="1" applyFill="1" applyBorder="1" applyAlignment="1">
      <alignment horizontal="center" vertical="top" wrapText="1"/>
    </xf>
    <xf numFmtId="0" fontId="7" fillId="0" borderId="34" xfId="0" applyFont="1" applyFill="1" applyBorder="1" applyAlignment="1">
      <alignment horizontal="center" vertical="center" wrapText="1"/>
    </xf>
    <xf numFmtId="0" fontId="7" fillId="0" borderId="21" xfId="0" applyFont="1" applyFill="1" applyBorder="1" applyAlignment="1">
      <alignment horizontal="center" vertical="center" wrapText="1"/>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rmal_Final cover - LG Reporting" xfId="38"/>
    <cellStyle name="Note" xfId="39" builtinId="10" customBuiltin="1"/>
    <cellStyle name="Output" xfId="40" builtinId="21" customBuiltin="1"/>
    <cellStyle name="Percent" xfId="41" builtinId="5"/>
    <cellStyle name="Title" xfId="42" builtinId="15" customBuiltin="1"/>
    <cellStyle name="Total" xfId="43" builtinId="25" customBuiltin="1"/>
    <cellStyle name="Warning Text" xfId="4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60-EC42-11CE-9E0D-00AA006002F3}" ax:persistence="persistStreamInit" r:id="rId1"/>
</file>

<file path=xl/activeX/activeX7.xml><?xml version="1.0" encoding="utf-8"?>
<ax:ocx xmlns:ax="http://schemas.microsoft.com/office/2006/activeX" xmlns:r="http://schemas.openxmlformats.org/officeDocument/2006/relationships" ax:classid="{8BD21D60-EC42-11CE-9E0D-00AA006002F3}" ax:persistence="persistStreamInit" r:id="rId1"/>
</file>

<file path=xl/activeX/activeX8.xml><?xml version="1.0" encoding="utf-8"?>
<ax:ocx xmlns:ax="http://schemas.microsoft.com/office/2006/activeX" xmlns:r="http://schemas.openxmlformats.org/officeDocument/2006/relationships" ax:classid="{8BD21D60-EC42-11CE-9E0D-00AA006002F3}" ax:persistence="persistStreamInit" r:id="rId1"/>
</file>

<file path=xl/activeX/activeX9.xml><?xml version="1.0" encoding="utf-8"?>
<ax:ocx xmlns:ax="http://schemas.microsoft.com/office/2006/activeX" xmlns:r="http://schemas.openxmlformats.org/officeDocument/2006/relationships" ax:classid="{8BD21D60-EC42-11CE-9E0D-00AA006002F3}" ax:persistence="persistStreamInit" r:id="rId1"/>
</file>

<file path=xl/ctrlProps/ctrlProp1.xml><?xml version="1.0" encoding="utf-8"?>
<formControlPr xmlns="http://schemas.microsoft.com/office/spreadsheetml/2009/9/main" objectType="Drop" dropLines="6" dropStyle="combo" dx="16" fmlaLink="$X$33" fmlaRange="$X$17:$X$31" noThreeD="1" sel="9" val="8"/>
</file>

<file path=xl/ctrlProps/ctrlProp2.xml><?xml version="1.0" encoding="utf-8"?>
<formControlPr xmlns="http://schemas.microsoft.com/office/spreadsheetml/2009/9/main" objectType="Drop" dropLines="10" dropStyle="combo" dx="16" fmlaLink="'Lookup and lists'!$B$27" fmlaRange="'Lookup and lists'!$B$29:$B$312" noThreeD="1" sel="172" val="171"/>
</file>

<file path=xl/ctrlProps/ctrlProp3.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8.emf"/><Relationship Id="rId2" Type="http://schemas.openxmlformats.org/officeDocument/2006/relationships/image" Target="../media/image2.jpe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8" Type="http://schemas.openxmlformats.org/officeDocument/2006/relationships/image" Target="../media/image16.emf"/><Relationship Id="rId3" Type="http://schemas.openxmlformats.org/officeDocument/2006/relationships/image" Target="../media/image11.emf"/><Relationship Id="rId7" Type="http://schemas.openxmlformats.org/officeDocument/2006/relationships/image" Target="../media/image15.emf"/><Relationship Id="rId2" Type="http://schemas.openxmlformats.org/officeDocument/2006/relationships/image" Target="../media/image10.emf"/><Relationship Id="rId1" Type="http://schemas.openxmlformats.org/officeDocument/2006/relationships/image" Target="../media/image9.emf"/><Relationship Id="rId6" Type="http://schemas.openxmlformats.org/officeDocument/2006/relationships/image" Target="../media/image14.emf"/><Relationship Id="rId5" Type="http://schemas.openxmlformats.org/officeDocument/2006/relationships/image" Target="../media/image13.emf"/><Relationship Id="rId10" Type="http://schemas.openxmlformats.org/officeDocument/2006/relationships/image" Target="../media/image19.emf"/><Relationship Id="rId4" Type="http://schemas.openxmlformats.org/officeDocument/2006/relationships/image" Target="../media/image12.emf"/><Relationship Id="rId9" Type="http://schemas.openxmlformats.org/officeDocument/2006/relationships/image" Target="../media/image17.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xdr:rowOff>
    </xdr:from>
    <xdr:to>
      <xdr:col>14</xdr:col>
      <xdr:colOff>66675</xdr:colOff>
      <xdr:row>39</xdr:row>
      <xdr:rowOff>95250</xdr:rowOff>
    </xdr:to>
    <xdr:grpSp>
      <xdr:nvGrpSpPr>
        <xdr:cNvPr id="3253" name="Group 11"/>
        <xdr:cNvGrpSpPr>
          <a:grpSpLocks/>
        </xdr:cNvGrpSpPr>
      </xdr:nvGrpSpPr>
      <xdr:grpSpPr bwMode="auto">
        <a:xfrm>
          <a:off x="0" y="9525"/>
          <a:ext cx="7582766" cy="6502111"/>
          <a:chOff x="0" y="1"/>
          <a:chExt cx="791" cy="672"/>
        </a:xfrm>
      </xdr:grpSpPr>
      <xdr:grpSp>
        <xdr:nvGrpSpPr>
          <xdr:cNvPr id="3256" name="Group 12"/>
          <xdr:cNvGrpSpPr>
            <a:grpSpLocks/>
          </xdr:cNvGrpSpPr>
        </xdr:nvGrpSpPr>
        <xdr:grpSpPr bwMode="auto">
          <a:xfrm>
            <a:off x="0" y="1"/>
            <a:ext cx="791" cy="672"/>
            <a:chOff x="12" y="17"/>
            <a:chExt cx="791" cy="672"/>
          </a:xfrm>
        </xdr:grpSpPr>
        <xdr:pic>
          <xdr:nvPicPr>
            <xdr:cNvPr id="3258" name="Picture 13" descr="Untitled-1 copy"/>
            <xdr:cNvPicPr>
              <a:picLocks noChangeAspect="1" noChangeArrowheads="1"/>
            </xdr:cNvPicPr>
          </xdr:nvPicPr>
          <xdr:blipFill>
            <a:blip xmlns:r="http://schemas.openxmlformats.org/officeDocument/2006/relationships" r:embed="rId1" cstate="print"/>
            <a:srcRect/>
            <a:stretch>
              <a:fillRect/>
            </a:stretch>
          </xdr:blipFill>
          <xdr:spPr bwMode="auto">
            <a:xfrm>
              <a:off x="12" y="17"/>
              <a:ext cx="791" cy="672"/>
            </a:xfrm>
            <a:prstGeom prst="rect">
              <a:avLst/>
            </a:prstGeom>
            <a:noFill/>
            <a:ln w="9525">
              <a:noFill/>
              <a:miter lim="800000"/>
              <a:headEnd/>
              <a:tailEnd/>
            </a:ln>
          </xdr:spPr>
        </xdr:pic>
        <xdr:pic>
          <xdr:nvPicPr>
            <xdr:cNvPr id="3259" name="Picture 14" descr="1 copy"/>
            <xdr:cNvPicPr>
              <a:picLocks noChangeAspect="1" noChangeArrowheads="1"/>
            </xdr:cNvPicPr>
          </xdr:nvPicPr>
          <xdr:blipFill>
            <a:blip xmlns:r="http://schemas.openxmlformats.org/officeDocument/2006/relationships" r:embed="rId2" cstate="print"/>
            <a:srcRect/>
            <a:stretch>
              <a:fillRect/>
            </a:stretch>
          </xdr:blipFill>
          <xdr:spPr bwMode="auto">
            <a:xfrm>
              <a:off x="23" y="249"/>
              <a:ext cx="770" cy="431"/>
            </a:xfrm>
            <a:prstGeom prst="rect">
              <a:avLst/>
            </a:prstGeom>
            <a:noFill/>
            <a:ln w="9525">
              <a:noFill/>
              <a:miter lim="800000"/>
              <a:headEnd/>
              <a:tailEnd/>
            </a:ln>
          </xdr:spPr>
        </xdr:pic>
        <xdr:grpSp>
          <xdr:nvGrpSpPr>
            <xdr:cNvPr id="3260" name="Group 15"/>
            <xdr:cNvGrpSpPr>
              <a:grpSpLocks/>
            </xdr:cNvGrpSpPr>
          </xdr:nvGrpSpPr>
          <xdr:grpSpPr bwMode="auto">
            <a:xfrm>
              <a:off x="416" y="255"/>
              <a:ext cx="367" cy="413"/>
              <a:chOff x="416" y="255"/>
              <a:chExt cx="367" cy="413"/>
            </a:xfrm>
          </xdr:grpSpPr>
          <xdr:pic>
            <xdr:nvPicPr>
              <xdr:cNvPr id="3265" name="Picture 48" descr="Untitled-4-2"/>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lum bright="54000" contrast="-18000"/>
              </a:blip>
              <a:srcRect l="3902" t="4648" r="53714" b="11395"/>
              <a:stretch>
                <a:fillRect/>
              </a:stretch>
            </xdr:blipFill>
            <xdr:spPr bwMode="auto">
              <a:xfrm>
                <a:off x="416" y="255"/>
                <a:ext cx="367" cy="413"/>
              </a:xfrm>
              <a:prstGeom prst="rect">
                <a:avLst/>
              </a:prstGeom>
              <a:noFill/>
              <a:ln w="9525">
                <a:noFill/>
                <a:miter lim="800000"/>
                <a:headEnd/>
                <a:tailEnd/>
              </a:ln>
            </xdr:spPr>
          </xdr:pic>
          <xdr:grpSp>
            <xdr:nvGrpSpPr>
              <xdr:cNvPr id="3266" name="Group 17"/>
              <xdr:cNvGrpSpPr>
                <a:grpSpLocks/>
              </xdr:cNvGrpSpPr>
            </xdr:nvGrpSpPr>
            <xdr:grpSpPr bwMode="auto">
              <a:xfrm>
                <a:off x="432" y="264"/>
                <a:ext cx="286" cy="128"/>
                <a:chOff x="426" y="263"/>
                <a:chExt cx="290" cy="130"/>
              </a:xfrm>
            </xdr:grpSpPr>
            <xdr:pic>
              <xdr:nvPicPr>
                <xdr:cNvPr id="3268" name="Picture 52" descr="Letter Head"/>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lum bright="-6000" contrast="12000"/>
                </a:blip>
                <a:srcRect l="7806" t="23810" r="4646" b="24339"/>
                <a:stretch>
                  <a:fillRect/>
                </a:stretch>
              </xdr:blipFill>
              <xdr:spPr bwMode="auto">
                <a:xfrm>
                  <a:off x="426" y="263"/>
                  <a:ext cx="290" cy="130"/>
                </a:xfrm>
                <a:prstGeom prst="rect">
                  <a:avLst/>
                </a:prstGeom>
                <a:noFill/>
                <a:ln w="9525">
                  <a:noFill/>
                  <a:miter lim="800000"/>
                  <a:headEnd/>
                  <a:tailEnd/>
                </a:ln>
              </xdr:spPr>
            </xdr:pic>
            <xdr:sp macro="" textlink="">
              <xdr:nvSpPr>
                <xdr:cNvPr id="3269" name="Line 53"/>
                <xdr:cNvSpPr>
                  <a:spLocks noChangeShapeType="1"/>
                </xdr:cNvSpPr>
              </xdr:nvSpPr>
              <xdr:spPr bwMode="auto">
                <a:xfrm>
                  <a:off x="515" y="325"/>
                  <a:ext cx="187" cy="0"/>
                </a:xfrm>
                <a:prstGeom prst="line">
                  <a:avLst/>
                </a:prstGeom>
                <a:noFill/>
                <a:ln w="12700">
                  <a:solidFill>
                    <a:srgbClr val="000000"/>
                  </a:solidFill>
                  <a:round/>
                  <a:headEnd/>
                  <a:tailEnd/>
                </a:ln>
              </xdr:spPr>
            </xdr:sp>
          </xdr:grpSp>
          <xdr:sp macro="" textlink="">
            <xdr:nvSpPr>
              <xdr:cNvPr id="3092" name="Text Box 20"/>
              <xdr:cNvSpPr txBox="1">
                <a:spLocks noChangeArrowheads="1"/>
              </xdr:cNvSpPr>
            </xdr:nvSpPr>
            <xdr:spPr bwMode="auto">
              <a:xfrm>
                <a:off x="435" y="393"/>
                <a:ext cx="333" cy="2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endParaRPr lang="en-GB" sz="1200" b="1" i="0" u="sng" strike="noStrike" baseline="0">
                  <a:solidFill>
                    <a:srgbClr val="000000"/>
                  </a:solidFill>
                  <a:latin typeface="Calibri"/>
                  <a:cs typeface="Calibri"/>
                </a:endParaRPr>
              </a:p>
              <a:p>
                <a:pPr algn="l" rtl="0">
                  <a:defRPr sz="1000"/>
                </a:pPr>
                <a:r>
                  <a:rPr lang="en-GB" sz="1200" b="1" i="0" u="sng" strike="noStrike" baseline="0">
                    <a:solidFill>
                      <a:srgbClr val="000000"/>
                    </a:solidFill>
                    <a:latin typeface="Calibri"/>
                    <a:cs typeface="Calibri"/>
                  </a:rPr>
                  <a:t>Contact details:</a:t>
                </a:r>
                <a:endParaRPr lang="en-GB" sz="1200" b="0" i="0" u="none" strike="noStrike" baseline="0">
                  <a:solidFill>
                    <a:srgbClr val="000000"/>
                  </a:solidFill>
                  <a:latin typeface="Calibri"/>
                  <a:cs typeface="Calibri"/>
                </a:endParaRPr>
              </a:p>
              <a:p>
                <a:pPr algn="l" rtl="0">
                  <a:defRPr sz="1000"/>
                </a:pPr>
                <a:endParaRPr lang="en-GB" sz="1200" b="0" i="0" u="none" strike="noStrike" baseline="0">
                  <a:solidFill>
                    <a:srgbClr val="000000"/>
                  </a:solidFill>
                  <a:latin typeface="Calibri"/>
                  <a:cs typeface="Calibri"/>
                </a:endParaRPr>
              </a:p>
              <a:p>
                <a:pPr algn="l" rtl="0">
                  <a:defRPr sz="1000"/>
                </a:pPr>
                <a:r>
                  <a:rPr lang="en-GB" sz="1000" b="0" i="0" u="none" strike="noStrike" baseline="0">
                    <a:solidFill>
                      <a:srgbClr val="000000"/>
                    </a:solidFill>
                    <a:latin typeface="Calibri"/>
                    <a:cs typeface="Calibri"/>
                  </a:rPr>
                  <a:t>Technical enquiries to the MFMA Helpline at:</a:t>
                </a:r>
              </a:p>
              <a:p>
                <a:pPr algn="l" rtl="0">
                  <a:defRPr sz="1000"/>
                </a:pPr>
                <a:r>
                  <a:rPr lang="en-GB" sz="1000" b="0" i="0" u="none" strike="noStrike" baseline="0">
                    <a:solidFill>
                      <a:srgbClr val="000000"/>
                    </a:solidFill>
                    <a:latin typeface="Calibri"/>
                    <a:cs typeface="Calibri"/>
                  </a:rPr>
                  <a:t>mfma@treasury.gov.za</a:t>
                </a:r>
              </a:p>
              <a:p>
                <a:pPr algn="l" rtl="0">
                  <a:defRPr sz="1000"/>
                </a:pPr>
                <a:endParaRPr lang="en-GB" sz="1000" b="0" i="0" u="none" strike="noStrike" baseline="0">
                  <a:solidFill>
                    <a:srgbClr val="000000"/>
                  </a:solidFill>
                  <a:latin typeface="Calibri"/>
                  <a:cs typeface="Calibri"/>
                </a:endParaRPr>
              </a:p>
              <a:p>
                <a:pPr algn="l" rtl="0">
                  <a:defRPr sz="1000"/>
                </a:pPr>
                <a:r>
                  <a:rPr lang="en-GB" sz="1000" b="0" i="0" u="none" strike="noStrike" baseline="0">
                    <a:solidFill>
                      <a:srgbClr val="000000"/>
                    </a:solidFill>
                    <a:latin typeface="Calibri"/>
                    <a:cs typeface="Calibri"/>
                  </a:rPr>
                  <a:t>Data submission enquiries:</a:t>
                </a:r>
              </a:p>
              <a:p>
                <a:pPr algn="l" rtl="0">
                  <a:defRPr sz="1000"/>
                </a:pPr>
                <a:r>
                  <a:rPr lang="en-GB" sz="1000" b="0" i="0" u="none" strike="noStrike" baseline="0">
                    <a:solidFill>
                      <a:srgbClr val="000000"/>
                    </a:solidFill>
                    <a:latin typeface="Calibri"/>
                    <a:cs typeface="Calibri"/>
                  </a:rPr>
                  <a:t>Elsabé Rossouw </a:t>
                </a:r>
              </a:p>
              <a:p>
                <a:pPr algn="l" rtl="0">
                  <a:defRPr sz="1000"/>
                </a:pPr>
                <a:r>
                  <a:rPr lang="en-GB" sz="1000" b="0" i="0" u="none" strike="noStrike" baseline="0">
                    <a:solidFill>
                      <a:srgbClr val="000000"/>
                    </a:solidFill>
                    <a:latin typeface="Calibri"/>
                    <a:cs typeface="Calibri"/>
                  </a:rPr>
                  <a:t>National Treasury </a:t>
                </a:r>
              </a:p>
              <a:p>
                <a:pPr algn="l" rtl="0">
                  <a:defRPr sz="1000"/>
                </a:pPr>
                <a:r>
                  <a:rPr lang="en-GB" sz="1000" b="0" i="0" u="none" strike="noStrike" baseline="0">
                    <a:solidFill>
                      <a:srgbClr val="000000"/>
                    </a:solidFill>
                    <a:latin typeface="Calibri"/>
                    <a:cs typeface="Calibri"/>
                  </a:rPr>
                  <a:t>Tel: (012) 315-5534 </a:t>
                </a:r>
              </a:p>
              <a:p>
                <a:pPr algn="l" rtl="0">
                  <a:defRPr sz="1000"/>
                </a:pPr>
                <a:r>
                  <a:rPr lang="en-GB" sz="1000" b="0" i="0" u="none" strike="noStrike" baseline="0">
                    <a:solidFill>
                      <a:srgbClr val="000000"/>
                    </a:solidFill>
                    <a:latin typeface="Calibri"/>
                    <a:cs typeface="Calibri"/>
                  </a:rPr>
                  <a:t>Electronic documents: lgdocuments@treasury.gov.za</a:t>
                </a:r>
              </a:p>
              <a:p>
                <a:pPr algn="l" rtl="0">
                  <a:defRPr sz="1000"/>
                </a:pPr>
                <a:r>
                  <a:rPr lang="en-GB" sz="1000" b="0" i="0" u="none" strike="noStrike" baseline="0">
                    <a:solidFill>
                      <a:srgbClr val="000000"/>
                    </a:solidFill>
                    <a:latin typeface="Calibri"/>
                    <a:cs typeface="Calibri"/>
                  </a:rPr>
                  <a:t>Queries on formats: lgdataqueries@treasury.gov.za</a:t>
                </a:r>
              </a:p>
              <a:p>
                <a:pPr algn="l" rtl="0">
                  <a:defRPr sz="1000"/>
                </a:pPr>
                <a:endParaRPr lang="en-GB" sz="1000" b="0" i="0" u="none" strike="noStrike" baseline="0">
                  <a:solidFill>
                    <a:srgbClr val="000000"/>
                  </a:solidFill>
                  <a:latin typeface="Calibri"/>
                  <a:cs typeface="Calibri"/>
                </a:endParaRPr>
              </a:p>
            </xdr:txBody>
          </xdr:sp>
        </xdr:grpSp>
        <xdr:grpSp>
          <xdr:nvGrpSpPr>
            <xdr:cNvPr id="3261" name="Group 21"/>
            <xdr:cNvGrpSpPr>
              <a:grpSpLocks/>
            </xdr:cNvGrpSpPr>
          </xdr:nvGrpSpPr>
          <xdr:grpSpPr bwMode="auto">
            <a:xfrm>
              <a:off x="76" y="364"/>
              <a:ext cx="289" cy="256"/>
              <a:chOff x="76" y="364"/>
              <a:chExt cx="289" cy="256"/>
            </a:xfrm>
          </xdr:grpSpPr>
          <xdr:pic>
            <xdr:nvPicPr>
              <xdr:cNvPr id="3262" name="Picture 22" descr="J1c"/>
              <xdr:cNvPicPr>
                <a:picLocks noChangeAspect="1" noChangeArrowheads="1"/>
              </xdr:cNvPicPr>
            </xdr:nvPicPr>
            <xdr:blipFill>
              <a:blip xmlns:r="http://schemas.openxmlformats.org/officeDocument/2006/relationships" r:embed="rId5" cstate="print"/>
              <a:srcRect/>
              <a:stretch>
                <a:fillRect/>
              </a:stretch>
            </xdr:blipFill>
            <xdr:spPr bwMode="auto">
              <a:xfrm>
                <a:off x="76" y="364"/>
                <a:ext cx="289" cy="84"/>
              </a:xfrm>
              <a:prstGeom prst="rect">
                <a:avLst/>
              </a:prstGeom>
              <a:noFill/>
              <a:ln w="9525">
                <a:noFill/>
                <a:miter lim="800000"/>
                <a:headEnd/>
                <a:tailEnd/>
              </a:ln>
            </xdr:spPr>
          </xdr:pic>
          <xdr:pic>
            <xdr:nvPicPr>
              <xdr:cNvPr id="3263" name="Picture 23" descr="J1a"/>
              <xdr:cNvPicPr>
                <a:picLocks noChangeAspect="1" noChangeArrowheads="1"/>
              </xdr:cNvPicPr>
            </xdr:nvPicPr>
            <xdr:blipFill>
              <a:blip xmlns:r="http://schemas.openxmlformats.org/officeDocument/2006/relationships" r:embed="rId6" cstate="print"/>
              <a:srcRect/>
              <a:stretch>
                <a:fillRect/>
              </a:stretch>
            </xdr:blipFill>
            <xdr:spPr bwMode="auto">
              <a:xfrm>
                <a:off x="76" y="536"/>
                <a:ext cx="289" cy="84"/>
              </a:xfrm>
              <a:prstGeom prst="rect">
                <a:avLst/>
              </a:prstGeom>
              <a:noFill/>
              <a:ln w="9525">
                <a:noFill/>
                <a:miter lim="800000"/>
                <a:headEnd/>
                <a:tailEnd/>
              </a:ln>
            </xdr:spPr>
          </xdr:pic>
          <xdr:pic>
            <xdr:nvPicPr>
              <xdr:cNvPr id="3264" name="Picture 24" descr="J1b"/>
              <xdr:cNvPicPr>
                <a:picLocks noChangeAspect="1" noChangeArrowheads="1"/>
              </xdr:cNvPicPr>
            </xdr:nvPicPr>
            <xdr:blipFill>
              <a:blip xmlns:r="http://schemas.openxmlformats.org/officeDocument/2006/relationships" r:embed="rId7" cstate="print"/>
              <a:srcRect/>
              <a:stretch>
                <a:fillRect/>
              </a:stretch>
            </xdr:blipFill>
            <xdr:spPr bwMode="auto">
              <a:xfrm>
                <a:off x="76" y="450"/>
                <a:ext cx="289" cy="84"/>
              </a:xfrm>
              <a:prstGeom prst="rect">
                <a:avLst/>
              </a:prstGeom>
              <a:noFill/>
              <a:ln w="9525">
                <a:noFill/>
                <a:miter lim="800000"/>
                <a:headEnd/>
                <a:tailEnd/>
              </a:ln>
            </xdr:spPr>
          </xdr:pic>
        </xdr:grpSp>
      </xdr:grpSp>
      <xdr:pic>
        <xdr:nvPicPr>
          <xdr:cNvPr id="3257" name="Picture 25" descr="D1 light"/>
          <xdr:cNvPicPr>
            <a:picLocks noChangeAspect="1" noChangeArrowheads="1"/>
          </xdr:cNvPicPr>
        </xdr:nvPicPr>
        <xdr:blipFill>
          <a:blip xmlns:r="http://schemas.openxmlformats.org/officeDocument/2006/relationships" r:embed="rId8" cstate="print"/>
          <a:srcRect/>
          <a:stretch>
            <a:fillRect/>
          </a:stretch>
        </xdr:blipFill>
        <xdr:spPr bwMode="auto">
          <a:xfrm>
            <a:off x="11" y="11"/>
            <a:ext cx="770" cy="216"/>
          </a:xfrm>
          <a:prstGeom prst="rect">
            <a:avLst/>
          </a:prstGeom>
          <a:noFill/>
          <a:ln w="9525">
            <a:noFill/>
            <a:miter lim="800000"/>
            <a:headEnd/>
            <a:tailEnd/>
          </a:ln>
        </xdr:spPr>
      </xdr:pic>
    </xdr:grpSp>
    <xdr:clientData/>
  </xdr:twoCellAnchor>
  <xdr:twoCellAnchor>
    <xdr:from>
      <xdr:col>1</xdr:col>
      <xdr:colOff>85725</xdr:colOff>
      <xdr:row>15</xdr:row>
      <xdr:rowOff>152400</xdr:rowOff>
    </xdr:from>
    <xdr:to>
      <xdr:col>4</xdr:col>
      <xdr:colOff>485775</xdr:colOff>
      <xdr:row>19</xdr:row>
      <xdr:rowOff>0</xdr:rowOff>
    </xdr:to>
    <xdr:sp macro="[0]!GoToInstructions" textlink="">
      <xdr:nvSpPr>
        <xdr:cNvPr id="3098" name="Text Box 26"/>
        <xdr:cNvSpPr txBox="1">
          <a:spLocks noChangeArrowheads="1"/>
        </xdr:cNvSpPr>
      </xdr:nvSpPr>
      <xdr:spPr bwMode="auto">
        <a:xfrm>
          <a:off x="619125" y="2581275"/>
          <a:ext cx="2000250" cy="495300"/>
        </a:xfrm>
        <a:prstGeom prst="rect">
          <a:avLst/>
        </a:prstGeom>
        <a:gradFill rotWithShape="1">
          <a:gsLst>
            <a:gs pos="0">
              <a:srgbClr val="000080"/>
            </a:gs>
            <a:gs pos="50000">
              <a:srgbClr val="FCFCFE">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0">
            <a:defRPr sz="1000"/>
          </a:pPr>
          <a:r>
            <a:rPr lang="en-GB" sz="1400" b="1" i="0" u="none" strike="noStrike" baseline="0">
              <a:solidFill>
                <a:srgbClr val="000000"/>
              </a:solidFill>
              <a:latin typeface="Calibri"/>
              <a:cs typeface="Calibri"/>
            </a:rPr>
            <a:t>Click for Instructions!</a:t>
          </a:r>
        </a:p>
      </xdr:txBody>
    </xdr:sp>
    <xdr:clientData/>
  </xdr:twoCellAnchor>
  <xdr:twoCellAnchor>
    <xdr:from>
      <xdr:col>12</xdr:col>
      <xdr:colOff>142875</xdr:colOff>
      <xdr:row>11</xdr:row>
      <xdr:rowOff>133350</xdr:rowOff>
    </xdr:from>
    <xdr:to>
      <xdr:col>13</xdr:col>
      <xdr:colOff>438150</xdr:colOff>
      <xdr:row>12</xdr:row>
      <xdr:rowOff>142875</xdr:rowOff>
    </xdr:to>
    <xdr:sp macro="" textlink="">
      <xdr:nvSpPr>
        <xdr:cNvPr id="3099" name="Text Box 27"/>
        <xdr:cNvSpPr txBox="1">
          <a:spLocks noChangeArrowheads="1"/>
        </xdr:cNvSpPr>
      </xdr:nvSpPr>
      <xdr:spPr bwMode="auto">
        <a:xfrm>
          <a:off x="6543675" y="1914525"/>
          <a:ext cx="8286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0" bIns="0" anchor="t" upright="1"/>
        <a:lstStyle/>
        <a:p>
          <a:pPr algn="l" rtl="0">
            <a:defRPr sz="1000"/>
          </a:pPr>
          <a:r>
            <a:rPr lang="en-GB" sz="1000" b="0" i="0" u="none" strike="noStrike" baseline="0">
              <a:solidFill>
                <a:srgbClr val="FFFFFF"/>
              </a:solidFill>
              <a:latin typeface="Bookman Old Style"/>
            </a:rPr>
            <a:t>Version 2.2</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219075</xdr:colOff>
      <xdr:row>46</xdr:row>
      <xdr:rowOff>66675</xdr:rowOff>
    </xdr:to>
    <xdr:pic>
      <xdr:nvPicPr>
        <xdr:cNvPr id="5311" name="Picture 3" descr="Untitled-1 copy"/>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7534275" cy="7515225"/>
        </a:xfrm>
        <a:prstGeom prst="rect">
          <a:avLst/>
        </a:prstGeom>
        <a:noFill/>
        <a:ln w="9525">
          <a:noFill/>
          <a:miter lim="800000"/>
          <a:headEnd/>
          <a:tailEnd/>
        </a:ln>
      </xdr:spPr>
    </xdr:pic>
    <xdr:clientData/>
  </xdr:twoCellAnchor>
  <xdr:twoCellAnchor>
    <xdr:from>
      <xdr:col>0</xdr:col>
      <xdr:colOff>104775</xdr:colOff>
      <xdr:row>28</xdr:row>
      <xdr:rowOff>104775</xdr:rowOff>
    </xdr:from>
    <xdr:to>
      <xdr:col>12</xdr:col>
      <xdr:colOff>123825</xdr:colOff>
      <xdr:row>45</xdr:row>
      <xdr:rowOff>0</xdr:rowOff>
    </xdr:to>
    <xdr:pic>
      <xdr:nvPicPr>
        <xdr:cNvPr id="5312" name="Picture 4" descr="1 copy"/>
        <xdr:cNvPicPr>
          <a:picLocks noChangeAspect="1" noChangeArrowheads="1"/>
        </xdr:cNvPicPr>
      </xdr:nvPicPr>
      <xdr:blipFill>
        <a:blip xmlns:r="http://schemas.openxmlformats.org/officeDocument/2006/relationships" r:embed="rId2" cstate="print"/>
        <a:srcRect/>
        <a:stretch>
          <a:fillRect/>
        </a:stretch>
      </xdr:blipFill>
      <xdr:spPr bwMode="auto">
        <a:xfrm>
          <a:off x="104775" y="4638675"/>
          <a:ext cx="7334250" cy="2647950"/>
        </a:xfrm>
        <a:prstGeom prst="rect">
          <a:avLst/>
        </a:prstGeom>
        <a:noFill/>
        <a:ln w="9525">
          <a:noFill/>
          <a:miter lim="800000"/>
          <a:headEnd/>
          <a:tailEnd/>
        </a:ln>
      </xdr:spPr>
    </xdr:pic>
    <xdr:clientData/>
  </xdr:twoCellAnchor>
  <xdr:twoCellAnchor>
    <xdr:from>
      <xdr:col>0</xdr:col>
      <xdr:colOff>161925</xdr:colOff>
      <xdr:row>0</xdr:row>
      <xdr:rowOff>123825</xdr:rowOff>
    </xdr:from>
    <xdr:to>
      <xdr:col>11</xdr:col>
      <xdr:colOff>552450</xdr:colOff>
      <xdr:row>3</xdr:row>
      <xdr:rowOff>133350</xdr:rowOff>
    </xdr:to>
    <xdr:sp macro="" textlink="">
      <xdr:nvSpPr>
        <xdr:cNvPr id="123921" name="Text Box 17"/>
        <xdr:cNvSpPr txBox="1">
          <a:spLocks noChangeArrowheads="1"/>
        </xdr:cNvSpPr>
      </xdr:nvSpPr>
      <xdr:spPr bwMode="auto">
        <a:xfrm>
          <a:off x="161925" y="123825"/>
          <a:ext cx="7096125"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Preparation Instructions</a:t>
          </a:r>
        </a:p>
      </xdr:txBody>
    </xdr:sp>
    <xdr:clientData/>
  </xdr:twoCellAnchor>
  <xdr:twoCellAnchor>
    <xdr:from>
      <xdr:col>0</xdr:col>
      <xdr:colOff>190500</xdr:colOff>
      <xdr:row>7</xdr:row>
      <xdr:rowOff>95250</xdr:rowOff>
    </xdr:from>
    <xdr:to>
      <xdr:col>5</xdr:col>
      <xdr:colOff>76200</xdr:colOff>
      <xdr:row>9</xdr:row>
      <xdr:rowOff>152400</xdr:rowOff>
    </xdr:to>
    <xdr:sp macro="" textlink="">
      <xdr:nvSpPr>
        <xdr:cNvPr id="123923" name="Text Box 19"/>
        <xdr:cNvSpPr txBox="1">
          <a:spLocks noChangeArrowheads="1"/>
        </xdr:cNvSpPr>
      </xdr:nvSpPr>
      <xdr:spPr bwMode="auto">
        <a:xfrm>
          <a:off x="190500" y="647700"/>
          <a:ext cx="2933700" cy="381000"/>
        </a:xfrm>
        <a:prstGeom prst="rect">
          <a:avLst/>
        </a:prstGeom>
        <a:noFill/>
        <a:ln w="9525">
          <a:noFill/>
          <a:miter lim="800000"/>
          <a:headEnd/>
          <a:tailEnd/>
        </a:ln>
      </xdr:spPr>
      <xdr:txBody>
        <a:bodyPr vertOverflow="clip" wrap="square" lIns="0" tIns="32004" rIns="36576" bIns="32004" anchor="ctr" upright="1"/>
        <a:lstStyle/>
        <a:p>
          <a:pPr algn="r" rtl="0">
            <a:defRPr sz="1000"/>
          </a:pPr>
          <a:r>
            <a:rPr lang="en-GB" sz="1400" b="1" i="0" u="none" strike="noStrike" baseline="0">
              <a:solidFill>
                <a:srgbClr val="FFFFFF"/>
              </a:solidFill>
              <a:latin typeface="Calibri"/>
              <a:cs typeface="Calibri"/>
            </a:rPr>
            <a:t>Municipal Entity Name:</a:t>
          </a:r>
        </a:p>
      </xdr:txBody>
    </xdr:sp>
    <xdr:clientData/>
  </xdr:twoCellAnchor>
  <xdr:twoCellAnchor>
    <xdr:from>
      <xdr:col>0</xdr:col>
      <xdr:colOff>161925</xdr:colOff>
      <xdr:row>18</xdr:row>
      <xdr:rowOff>19050</xdr:rowOff>
    </xdr:from>
    <xdr:to>
      <xdr:col>5</xdr:col>
      <xdr:colOff>47625</xdr:colOff>
      <xdr:row>21</xdr:row>
      <xdr:rowOff>28575</xdr:rowOff>
    </xdr:to>
    <xdr:sp macro="" textlink="">
      <xdr:nvSpPr>
        <xdr:cNvPr id="123926" name="Text Box 22"/>
        <xdr:cNvSpPr txBox="1">
          <a:spLocks noChangeArrowheads="1"/>
        </xdr:cNvSpPr>
      </xdr:nvSpPr>
      <xdr:spPr bwMode="auto">
        <a:xfrm>
          <a:off x="161925" y="2352675"/>
          <a:ext cx="2933700" cy="495300"/>
        </a:xfrm>
        <a:prstGeom prst="rect">
          <a:avLst/>
        </a:prstGeom>
        <a:noFill/>
        <a:ln w="9525">
          <a:noFill/>
          <a:miter lim="800000"/>
          <a:headEnd/>
          <a:tailEnd/>
        </a:ln>
      </xdr:spPr>
      <xdr:txBody>
        <a:bodyPr vertOverflow="clip" wrap="square" lIns="0" tIns="32004" rIns="36576" bIns="32004" anchor="ctr" upright="1"/>
        <a:lstStyle/>
        <a:p>
          <a:pPr algn="r" rtl="0">
            <a:defRPr sz="1000"/>
          </a:pPr>
          <a:r>
            <a:rPr lang="en-GB" sz="1400" b="1" i="0" u="none" strike="noStrike" baseline="0">
              <a:solidFill>
                <a:srgbClr val="FFFFFF"/>
              </a:solidFill>
              <a:latin typeface="Calibri"/>
              <a:cs typeface="Calibri"/>
            </a:rPr>
            <a:t>Budget for MTREF starting:</a:t>
          </a:r>
        </a:p>
      </xdr:txBody>
    </xdr:sp>
    <xdr:clientData/>
  </xdr:twoCellAnchor>
  <xdr:twoCellAnchor>
    <xdr:from>
      <xdr:col>7</xdr:col>
      <xdr:colOff>257175</xdr:colOff>
      <xdr:row>18</xdr:row>
      <xdr:rowOff>19050</xdr:rowOff>
    </xdr:from>
    <xdr:to>
      <xdr:col>9</xdr:col>
      <xdr:colOff>476250</xdr:colOff>
      <xdr:row>21</xdr:row>
      <xdr:rowOff>28575</xdr:rowOff>
    </xdr:to>
    <xdr:sp macro="" textlink="">
      <xdr:nvSpPr>
        <xdr:cNvPr id="123928" name="Text Box 24"/>
        <xdr:cNvSpPr txBox="1">
          <a:spLocks noChangeArrowheads="1"/>
        </xdr:cNvSpPr>
      </xdr:nvSpPr>
      <xdr:spPr bwMode="auto">
        <a:xfrm>
          <a:off x="4524375" y="2352675"/>
          <a:ext cx="1438275" cy="4953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Budget Year:</a:t>
          </a:r>
        </a:p>
      </xdr:txBody>
    </xdr:sp>
    <xdr:clientData/>
  </xdr:twoCellAnchor>
  <xdr:twoCellAnchor>
    <xdr:from>
      <xdr:col>0</xdr:col>
      <xdr:colOff>200025</xdr:colOff>
      <xdr:row>10</xdr:row>
      <xdr:rowOff>95250</xdr:rowOff>
    </xdr:from>
    <xdr:to>
      <xdr:col>5</xdr:col>
      <xdr:colOff>85725</xdr:colOff>
      <xdr:row>12</xdr:row>
      <xdr:rowOff>66675</xdr:rowOff>
    </xdr:to>
    <xdr:sp macro="" textlink="">
      <xdr:nvSpPr>
        <xdr:cNvPr id="123943" name="Text Box 39"/>
        <xdr:cNvSpPr txBox="1">
          <a:spLocks noChangeArrowheads="1"/>
        </xdr:cNvSpPr>
      </xdr:nvSpPr>
      <xdr:spPr bwMode="auto">
        <a:xfrm>
          <a:off x="200025" y="1133475"/>
          <a:ext cx="29337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CFO Name:</a:t>
          </a:r>
        </a:p>
      </xdr:txBody>
    </xdr:sp>
    <xdr:clientData/>
  </xdr:twoCellAnchor>
  <xdr:twoCellAnchor>
    <xdr:from>
      <xdr:col>3</xdr:col>
      <xdr:colOff>428625</xdr:colOff>
      <xdr:row>12</xdr:row>
      <xdr:rowOff>152400</xdr:rowOff>
    </xdr:from>
    <xdr:to>
      <xdr:col>5</xdr:col>
      <xdr:colOff>85725</xdr:colOff>
      <xdr:row>14</xdr:row>
      <xdr:rowOff>123825</xdr:rowOff>
    </xdr:to>
    <xdr:sp macro="" textlink="">
      <xdr:nvSpPr>
        <xdr:cNvPr id="123944" name="Text Box 40"/>
        <xdr:cNvSpPr txBox="1">
          <a:spLocks noChangeArrowheads="1"/>
        </xdr:cNvSpPr>
      </xdr:nvSpPr>
      <xdr:spPr bwMode="auto">
        <a:xfrm>
          <a:off x="2257425" y="1514475"/>
          <a:ext cx="8763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Tel:</a:t>
          </a:r>
        </a:p>
      </xdr:txBody>
    </xdr:sp>
    <xdr:clientData/>
  </xdr:twoCellAnchor>
  <xdr:twoCellAnchor>
    <xdr:from>
      <xdr:col>0</xdr:col>
      <xdr:colOff>209550</xdr:colOff>
      <xdr:row>15</xdr:row>
      <xdr:rowOff>57150</xdr:rowOff>
    </xdr:from>
    <xdr:to>
      <xdr:col>5</xdr:col>
      <xdr:colOff>95250</xdr:colOff>
      <xdr:row>17</xdr:row>
      <xdr:rowOff>47625</xdr:rowOff>
    </xdr:to>
    <xdr:sp macro="" textlink="">
      <xdr:nvSpPr>
        <xdr:cNvPr id="123945" name="Text Box 41"/>
        <xdr:cNvSpPr txBox="1">
          <a:spLocks noChangeArrowheads="1"/>
        </xdr:cNvSpPr>
      </xdr:nvSpPr>
      <xdr:spPr bwMode="auto">
        <a:xfrm>
          <a:off x="209550" y="1905000"/>
          <a:ext cx="2933700" cy="31432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E-Mail:</a:t>
          </a:r>
        </a:p>
      </xdr:txBody>
    </xdr:sp>
    <xdr:clientData/>
  </xdr:twoCellAnchor>
  <xdr:twoCellAnchor>
    <xdr:from>
      <xdr:col>8</xdr:col>
      <xdr:colOff>9525</xdr:colOff>
      <xdr:row>13</xdr:row>
      <xdr:rowOff>9525</xdr:rowOff>
    </xdr:from>
    <xdr:to>
      <xdr:col>8</xdr:col>
      <xdr:colOff>552450</xdr:colOff>
      <xdr:row>14</xdr:row>
      <xdr:rowOff>142875</xdr:rowOff>
    </xdr:to>
    <xdr:sp macro="" textlink="">
      <xdr:nvSpPr>
        <xdr:cNvPr id="123949" name="Text Box 45"/>
        <xdr:cNvSpPr txBox="1">
          <a:spLocks noChangeArrowheads="1"/>
        </xdr:cNvSpPr>
      </xdr:nvSpPr>
      <xdr:spPr bwMode="auto">
        <a:xfrm>
          <a:off x="4886325" y="1533525"/>
          <a:ext cx="542925"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Fax:</a:t>
          </a:r>
        </a:p>
      </xdr:txBody>
    </xdr:sp>
    <xdr:clientData/>
  </xdr:twoCellAnchor>
  <xdr:twoCellAnchor>
    <xdr:from>
      <xdr:col>0</xdr:col>
      <xdr:colOff>238125</xdr:colOff>
      <xdr:row>29</xdr:row>
      <xdr:rowOff>57150</xdr:rowOff>
    </xdr:from>
    <xdr:to>
      <xdr:col>5</xdr:col>
      <xdr:colOff>581025</xdr:colOff>
      <xdr:row>32</xdr:row>
      <xdr:rowOff>66675</xdr:rowOff>
    </xdr:to>
    <xdr:sp macro="" textlink="">
      <xdr:nvSpPr>
        <xdr:cNvPr id="5149" name="Text Box 18"/>
        <xdr:cNvSpPr txBox="1">
          <a:spLocks noChangeArrowheads="1"/>
        </xdr:cNvSpPr>
      </xdr:nvSpPr>
      <xdr:spPr bwMode="auto">
        <a:xfrm>
          <a:off x="238125" y="4752975"/>
          <a:ext cx="3390900" cy="495300"/>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Printing Instructions</a:t>
          </a:r>
        </a:p>
      </xdr:txBody>
    </xdr:sp>
    <xdr:clientData/>
  </xdr:twoCellAnchor>
  <xdr:twoCellAnchor>
    <xdr:from>
      <xdr:col>0</xdr:col>
      <xdr:colOff>209550</xdr:colOff>
      <xdr:row>32</xdr:row>
      <xdr:rowOff>66675</xdr:rowOff>
    </xdr:from>
    <xdr:to>
      <xdr:col>4</xdr:col>
      <xdr:colOff>447675</xdr:colOff>
      <xdr:row>34</xdr:row>
      <xdr:rowOff>114300</xdr:rowOff>
    </xdr:to>
    <xdr:sp macro="" textlink="">
      <xdr:nvSpPr>
        <xdr:cNvPr id="5150" name="Text Box 30"/>
        <xdr:cNvSpPr txBox="1">
          <a:spLocks noChangeArrowheads="1"/>
        </xdr:cNvSpPr>
      </xdr:nvSpPr>
      <xdr:spPr bwMode="auto">
        <a:xfrm>
          <a:off x="209550" y="5248275"/>
          <a:ext cx="26765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Hiding Columns</a:t>
          </a:r>
        </a:p>
      </xdr:txBody>
    </xdr:sp>
    <xdr:clientData/>
  </xdr:twoCellAnchor>
  <xdr:twoCellAnchor>
    <xdr:from>
      <xdr:col>0</xdr:col>
      <xdr:colOff>133350</xdr:colOff>
      <xdr:row>39</xdr:row>
      <xdr:rowOff>152400</xdr:rowOff>
    </xdr:from>
    <xdr:to>
      <xdr:col>5</xdr:col>
      <xdr:colOff>114300</xdr:colOff>
      <xdr:row>42</xdr:row>
      <xdr:rowOff>38100</xdr:rowOff>
    </xdr:to>
    <xdr:sp macro="" textlink="">
      <xdr:nvSpPr>
        <xdr:cNvPr id="5151" name="Text Box 31"/>
        <xdr:cNvSpPr txBox="1">
          <a:spLocks noChangeArrowheads="1"/>
        </xdr:cNvSpPr>
      </xdr:nvSpPr>
      <xdr:spPr bwMode="auto">
        <a:xfrm>
          <a:off x="133350" y="6467475"/>
          <a:ext cx="30289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Clearing Highlights</a:t>
          </a:r>
        </a:p>
      </xdr:txBody>
    </xdr:sp>
    <xdr:clientData/>
  </xdr:twoCellAnchor>
  <xdr:twoCellAnchor>
    <xdr:from>
      <xdr:col>6</xdr:col>
      <xdr:colOff>228600</xdr:colOff>
      <xdr:row>29</xdr:row>
      <xdr:rowOff>66675</xdr:rowOff>
    </xdr:from>
    <xdr:to>
      <xdr:col>11</xdr:col>
      <xdr:colOff>571500</xdr:colOff>
      <xdr:row>32</xdr:row>
      <xdr:rowOff>76200</xdr:rowOff>
    </xdr:to>
    <xdr:sp macro="" textlink="">
      <xdr:nvSpPr>
        <xdr:cNvPr id="5152" name="Text Box 18"/>
        <xdr:cNvSpPr txBox="1">
          <a:spLocks noChangeArrowheads="1"/>
        </xdr:cNvSpPr>
      </xdr:nvSpPr>
      <xdr:spPr bwMode="auto">
        <a:xfrm>
          <a:off x="3886200" y="4762500"/>
          <a:ext cx="3390900" cy="495300"/>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Submission of Data</a:t>
          </a:r>
        </a:p>
      </xdr:txBody>
    </xdr:sp>
    <xdr:clientData/>
  </xdr:twoCellAnchor>
  <xdr:twoCellAnchor>
    <xdr:from>
      <xdr:col>6</xdr:col>
      <xdr:colOff>381000</xdr:colOff>
      <xdr:row>32</xdr:row>
      <xdr:rowOff>85725</xdr:rowOff>
    </xdr:from>
    <xdr:to>
      <xdr:col>11</xdr:col>
      <xdr:colOff>361950</xdr:colOff>
      <xdr:row>34</xdr:row>
      <xdr:rowOff>95250</xdr:rowOff>
    </xdr:to>
    <xdr:sp macro="" textlink="">
      <xdr:nvSpPr>
        <xdr:cNvPr id="5153" name="Text Box 33"/>
        <xdr:cNvSpPr txBox="1">
          <a:spLocks noChangeArrowheads="1"/>
        </xdr:cNvSpPr>
      </xdr:nvSpPr>
      <xdr:spPr bwMode="auto">
        <a:xfrm>
          <a:off x="4038600" y="5267325"/>
          <a:ext cx="30289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Preparing Data File for Submission</a:t>
          </a:r>
        </a:p>
      </xdr:txBody>
    </xdr:sp>
    <xdr:clientData/>
  </xdr:twoCellAnchor>
  <xdr:twoCellAnchor>
    <xdr:from>
      <xdr:col>0</xdr:col>
      <xdr:colOff>190500</xdr:colOff>
      <xdr:row>4</xdr:row>
      <xdr:rowOff>133350</xdr:rowOff>
    </xdr:from>
    <xdr:to>
      <xdr:col>5</xdr:col>
      <xdr:colOff>76200</xdr:colOff>
      <xdr:row>7</xdr:row>
      <xdr:rowOff>28575</xdr:rowOff>
    </xdr:to>
    <xdr:sp macro="" textlink="">
      <xdr:nvSpPr>
        <xdr:cNvPr id="2" name="Text Box 19"/>
        <xdr:cNvSpPr txBox="1">
          <a:spLocks noChangeArrowheads="1"/>
        </xdr:cNvSpPr>
      </xdr:nvSpPr>
      <xdr:spPr bwMode="auto">
        <a:xfrm>
          <a:off x="190500" y="647700"/>
          <a:ext cx="2933700" cy="3810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Municipality Name:</a:t>
          </a:r>
        </a:p>
      </xdr:txBody>
    </xdr:sp>
    <xdr:clientData/>
  </xdr:twoCellAnchor>
  <mc:AlternateContent xmlns:mc="http://schemas.openxmlformats.org/markup-compatibility/2006">
    <mc:Choice xmlns:a14="http://schemas.microsoft.com/office/drawing/2010/main" Requires="a14">
      <xdr:twoCellAnchor editAs="oneCell">
        <xdr:from>
          <xdr:col>5</xdr:col>
          <xdr:colOff>209550</xdr:colOff>
          <xdr:row>8</xdr:row>
          <xdr:rowOff>0</xdr:rowOff>
        </xdr:from>
        <xdr:to>
          <xdr:col>11</xdr:col>
          <xdr:colOff>238125</xdr:colOff>
          <xdr:row>9</xdr:row>
          <xdr:rowOff>114300</xdr:rowOff>
        </xdr:to>
        <xdr:sp macro="" textlink="">
          <xdr:nvSpPr>
            <xdr:cNvPr id="5137" name="TextBox1" hidden="1">
              <a:extLst>
                <a:ext uri="{63B3BB69-23CF-44E3-9099-C40C66FF867C}">
                  <a14:compatExt spid="_x0000_s51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18</xdr:row>
          <xdr:rowOff>152400</xdr:rowOff>
        </xdr:from>
        <xdr:to>
          <xdr:col>7</xdr:col>
          <xdr:colOff>219075</xdr:colOff>
          <xdr:row>20</xdr:row>
          <xdr:rowOff>85725</xdr:rowOff>
        </xdr:to>
        <xdr:sp macro="" textlink="">
          <xdr:nvSpPr>
            <xdr:cNvPr id="5140" name="Drop Down 20" hidden="1">
              <a:extLst>
                <a:ext uri="{63B3BB69-23CF-44E3-9099-C40C66FF867C}">
                  <a14:compatExt spid="_x0000_s51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18</xdr:row>
          <xdr:rowOff>123825</xdr:rowOff>
        </xdr:from>
        <xdr:to>
          <xdr:col>11</xdr:col>
          <xdr:colOff>466725</xdr:colOff>
          <xdr:row>20</xdr:row>
          <xdr:rowOff>123825</xdr:rowOff>
        </xdr:to>
        <xdr:pic>
          <xdr:nvPicPr>
            <xdr:cNvPr id="5321" name="TextBox2"/>
            <xdr:cNvPicPr preferRelativeResize="0">
              <a:picLocks noChangeArrowheads="1" noChangeShapeType="1"/>
              <a:extLst>
                <a:ext uri="{84589F7E-364E-4C9E-8A38-B11213B215E9}">
                  <a14:cameraTool cellRange="FinYear" spid="_x0000_s5323"/>
                </a:ext>
              </a:extLst>
            </xdr:cNvPicPr>
          </xdr:nvPicPr>
          <xdr:blipFill>
            <a:blip xmlns:r="http://schemas.openxmlformats.org/officeDocument/2006/relationships" r:embed="rId3">
              <a:grayscl/>
              <a:biLevel thresh="50000"/>
            </a:blip>
            <a:srcRect/>
            <a:stretch>
              <a:fillRect/>
            </a:stretch>
          </xdr:blipFill>
          <xdr:spPr bwMode="auto">
            <a:xfrm>
              <a:off x="6067425" y="3038475"/>
              <a:ext cx="1104900" cy="3238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xdr:row>
          <xdr:rowOff>142875</xdr:rowOff>
        </xdr:from>
        <xdr:to>
          <xdr:col>11</xdr:col>
          <xdr:colOff>238125</xdr:colOff>
          <xdr:row>12</xdr:row>
          <xdr:rowOff>76200</xdr:rowOff>
        </xdr:to>
        <xdr:sp macro="" textlink="">
          <xdr:nvSpPr>
            <xdr:cNvPr id="5142" name="TextBox3" hidden="1">
              <a:extLst>
                <a:ext uri="{63B3BB69-23CF-44E3-9099-C40C66FF867C}">
                  <a14:compatExt spid="_x0000_s51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13</xdr:row>
          <xdr:rowOff>57150</xdr:rowOff>
        </xdr:from>
        <xdr:to>
          <xdr:col>7</xdr:col>
          <xdr:colOff>533400</xdr:colOff>
          <xdr:row>14</xdr:row>
          <xdr:rowOff>152400</xdr:rowOff>
        </xdr:to>
        <xdr:sp macro="" textlink="">
          <xdr:nvSpPr>
            <xdr:cNvPr id="5143" name="TextBox4" hidden="1">
              <a:extLst>
                <a:ext uri="{63B3BB69-23CF-44E3-9099-C40C66FF867C}">
                  <a14:compatExt spid="_x0000_s51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15</xdr:row>
          <xdr:rowOff>123825</xdr:rowOff>
        </xdr:from>
        <xdr:to>
          <xdr:col>11</xdr:col>
          <xdr:colOff>238125</xdr:colOff>
          <xdr:row>17</xdr:row>
          <xdr:rowOff>57150</xdr:rowOff>
        </xdr:to>
        <xdr:sp macro="" textlink="">
          <xdr:nvSpPr>
            <xdr:cNvPr id="5144" name="TextBox5" hidden="1">
              <a:extLst>
                <a:ext uri="{63B3BB69-23CF-44E3-9099-C40C66FF867C}">
                  <a14:compatExt spid="_x0000_s51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13</xdr:row>
          <xdr:rowOff>76200</xdr:rowOff>
        </xdr:from>
        <xdr:to>
          <xdr:col>11</xdr:col>
          <xdr:colOff>238125</xdr:colOff>
          <xdr:row>15</xdr:row>
          <xdr:rowOff>9525</xdr:rowOff>
        </xdr:to>
        <xdr:sp macro="" textlink="">
          <xdr:nvSpPr>
            <xdr:cNvPr id="5145" name="TextBox6" hidden="1">
              <a:extLst>
                <a:ext uri="{63B3BB69-23CF-44E3-9099-C40C66FF867C}">
                  <a14:compatExt spid="_x0000_s51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542925</xdr:colOff>
          <xdr:row>35</xdr:row>
          <xdr:rowOff>0</xdr:rowOff>
        </xdr:from>
        <xdr:to>
          <xdr:col>4</xdr:col>
          <xdr:colOff>523875</xdr:colOff>
          <xdr:row>36</xdr:row>
          <xdr:rowOff>152400</xdr:rowOff>
        </xdr:to>
        <xdr:sp macro="" textlink="">
          <xdr:nvSpPr>
            <xdr:cNvPr id="5146" name="ToggleReferenceColumns" hidden="1">
              <a:extLst>
                <a:ext uri="{63B3BB69-23CF-44E3-9099-C40C66FF867C}">
                  <a14:compatExt spid="_x0000_s51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37</xdr:row>
          <xdr:rowOff>142875</xdr:rowOff>
        </xdr:from>
        <xdr:to>
          <xdr:col>4</xdr:col>
          <xdr:colOff>514350</xdr:colOff>
          <xdr:row>39</xdr:row>
          <xdr:rowOff>142875</xdr:rowOff>
        </xdr:to>
        <xdr:sp macro="" textlink="">
          <xdr:nvSpPr>
            <xdr:cNvPr id="5147" name="TogglePreAuditColums" hidden="1">
              <a:extLst>
                <a:ext uri="{63B3BB69-23CF-44E3-9099-C40C66FF867C}">
                  <a14:compatExt spid="_x0000_s51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42</xdr:row>
          <xdr:rowOff>66675</xdr:rowOff>
        </xdr:from>
        <xdr:to>
          <xdr:col>4</xdr:col>
          <xdr:colOff>514350</xdr:colOff>
          <xdr:row>44</xdr:row>
          <xdr:rowOff>57150</xdr:rowOff>
        </xdr:to>
        <xdr:sp macro="" textlink="">
          <xdr:nvSpPr>
            <xdr:cNvPr id="5148" name="ToggleHiddenColumns" hidden="1">
              <a:extLst>
                <a:ext uri="{63B3BB69-23CF-44E3-9099-C40C66FF867C}">
                  <a14:compatExt spid="_x0000_s51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35</xdr:row>
          <xdr:rowOff>0</xdr:rowOff>
        </xdr:from>
        <xdr:to>
          <xdr:col>10</xdr:col>
          <xdr:colOff>561975</xdr:colOff>
          <xdr:row>36</xdr:row>
          <xdr:rowOff>152400</xdr:rowOff>
        </xdr:to>
        <xdr:sp macro="" textlink="">
          <xdr:nvSpPr>
            <xdr:cNvPr id="5154" name="ToggleButton1" hidden="1">
              <a:extLst>
                <a:ext uri="{63B3BB69-23CF-44E3-9099-C40C66FF867C}">
                  <a14:compatExt spid="_x0000_s51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5</xdr:row>
          <xdr:rowOff>66675</xdr:rowOff>
        </xdr:from>
        <xdr:to>
          <xdr:col>11</xdr:col>
          <xdr:colOff>219075</xdr:colOff>
          <xdr:row>6</xdr:row>
          <xdr:rowOff>152400</xdr:rowOff>
        </xdr:to>
        <xdr:sp macro="" textlink="">
          <xdr:nvSpPr>
            <xdr:cNvPr id="5156" name="Drop Down 36" hidden="1">
              <a:extLst>
                <a:ext uri="{63B3BB69-23CF-44E3-9099-C40C66FF867C}">
                  <a14:compatExt spid="_x0000_s51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247650</xdr:colOff>
          <xdr:row>2</xdr:row>
          <xdr:rowOff>47625</xdr:rowOff>
        </xdr:from>
        <xdr:to>
          <xdr:col>7</xdr:col>
          <xdr:colOff>123825</xdr:colOff>
          <xdr:row>4</xdr:row>
          <xdr:rowOff>47625</xdr:rowOff>
        </xdr:to>
        <xdr:sp macro="" textlink="">
          <xdr:nvSpPr>
            <xdr:cNvPr id="4097" name="Button 1" hidden="1">
              <a:extLst>
                <a:ext uri="{63B3BB69-23CF-44E3-9099-C40C66FF867C}">
                  <a14:compatExt spid="_x0000_s4097"/>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ZA" sz="1000" b="0" i="0" u="none" strike="noStrike" baseline="0">
                  <a:solidFill>
                    <a:srgbClr val="000000"/>
                  </a:solidFill>
                  <a:latin typeface="Arial"/>
                  <a:cs typeface="Arial"/>
                </a:rPr>
                <a:t>Save for USERS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essp02\Common\B03\CD%20-%20LGBA\Municipalities\20.%20Budget%20Regulations\02.%20Development\00.%20Final%20-%20March%202009\2.%20Formats\1.%20Formats%2029.03.2009\A1%20Schedule%20Municipal%20Budget%20-%2028%20March%202009%20cb%20Ver%201.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miicoryf007\private\Financial%20Manager\NigelG\2%20MFMTAP\LTFS\2004_2005%20development\Budgeted%20financial%20statements%20Cash%20flow%20&amp;%20Balance%20Sheet%20Final%207%20May%20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C%20Tshwane\EM%2010day%20report%20Dec%20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Budget%20regulations\Regulations\Tshwane\Budget%20Regulations%20Tshwane%20Draft%20NT%2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oupa/AppData/Local/Microsoft/Windows/Temporary%20Internet%20Files/Content.Outlook/9N531Z5N/Copy%20of%20GTEDA%20revised%20multi%20year%20budget-2014-2017%20VELLY.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oupa/AppData/Local/Microsoft/Windows/Temporary%20Internet%20Files/Content.Outlook/9N531Z5N/GTEDA%20revised%20multi%20year%20budget-2014-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s>
    <sheetDataSet>
      <sheetData sheetId="0"/>
      <sheetData sheetId="1"/>
      <sheetData sheetId="2">
        <row r="93">
          <cell r="B93" t="str">
            <v/>
          </cell>
        </row>
        <row r="94">
          <cell r="B94">
            <v>2</v>
          </cell>
          <cell r="D94">
            <v>2</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Cash Flow"/>
    </sheetNames>
    <sheetDataSet>
      <sheetData sheetId="0" refreshError="1">
        <row r="50">
          <cell r="D50">
            <v>1.07</v>
          </cell>
          <cell r="E50">
            <v>1.0649999999999999</v>
          </cell>
          <cell r="F50">
            <v>1.06</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Summary"/>
      <sheetName val="PIs"/>
      <sheetName val="SFP"/>
      <sheetName val="Stack graph"/>
      <sheetName val="Rev target"/>
      <sheetName val="Monthly SFP Bud"/>
      <sheetName val="Capex"/>
      <sheetName val="Capex graphs"/>
      <sheetName val="Capex history"/>
      <sheetName val="Cash"/>
      <sheetName val="YTD cash targets"/>
      <sheetName val="Debtors"/>
      <sheetName val="Creditors"/>
    </sheetNames>
    <sheetDataSet>
      <sheetData sheetId="0" refreshError="1">
        <row r="1">
          <cell r="B1" t="str">
            <v>December</v>
          </cell>
        </row>
        <row r="2">
          <cell r="B2">
            <v>31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rove Specification"/>
      <sheetName val="Directory and scenarios"/>
      <sheetName val="Options"/>
      <sheetName val="Names"/>
      <sheetName val="Summary table"/>
      <sheetName val="Schedule 1"/>
      <sheetName val="Schedule2"/>
      <sheetName val="Schedule 3"/>
      <sheetName val="Schedule 4"/>
      <sheetName val="Schedule 5"/>
      <sheetName val="Schedule 6"/>
      <sheetName val="Schedule 7"/>
      <sheetName val="Funding note"/>
      <sheetName val="Notes 1 &amp; 2"/>
      <sheetName val="Note 3"/>
      <sheetName val="Note 4"/>
      <sheetName val="Note 5"/>
      <sheetName val="Note 6"/>
      <sheetName val="Note 7"/>
      <sheetName val="Note 8"/>
      <sheetName val="Note 9"/>
      <sheetName val="Note 10"/>
      <sheetName val="Notes 11-13"/>
      <sheetName val="Note 14"/>
      <sheetName val="Note 15"/>
      <sheetName val="Note 16"/>
      <sheetName val="Note 17"/>
      <sheetName val="Note 18"/>
      <sheetName val="Note 19"/>
      <sheetName val="Note 20"/>
      <sheetName val="Note 21 PIs"/>
      <sheetName val="Note 22"/>
      <sheetName val="Note 23"/>
      <sheetName val="Charts Values"/>
      <sheetName val="Charts"/>
      <sheetName val="SDBIP2"/>
      <sheetName val="SDBIP2A"/>
      <sheetName val="SDBIP3"/>
      <sheetName val="SDBIP4"/>
      <sheetName val="ADJ1"/>
      <sheetName val="ADJ2"/>
      <sheetName val="ADJ3"/>
      <sheetName val="ADJ4"/>
      <sheetName val="ADJ5"/>
      <sheetName val="ADJ6"/>
      <sheetName val="ADJ7"/>
      <sheetName val="ADJ8"/>
      <sheetName val="ADJ9"/>
      <sheetName val="ADJ10"/>
      <sheetName val="S71A"/>
      <sheetName val="S71B"/>
      <sheetName val="S71C"/>
      <sheetName val="S71D"/>
      <sheetName val="S71E"/>
      <sheetName val="S71F"/>
      <sheetName val="S71G"/>
      <sheetName val="S71H"/>
      <sheetName val="S71I"/>
      <sheetName val="S71J"/>
      <sheetName val="S71K"/>
      <sheetName val="S71L"/>
      <sheetName val="MEB1"/>
      <sheetName val="MEB2"/>
      <sheetName val="MEB3"/>
      <sheetName val="MEB4"/>
      <sheetName val="MEB5"/>
      <sheetName val="MEB6"/>
      <sheetName val="MEB7"/>
      <sheetName val="MEAB1"/>
      <sheetName val="MEAB2"/>
      <sheetName val="MEAB3"/>
      <sheetName val="MEAB4"/>
      <sheetName val="MEAB5"/>
      <sheetName val="MEAB6"/>
      <sheetName val="MER1"/>
      <sheetName val="MER2"/>
      <sheetName val="MER3"/>
      <sheetName val="MER4"/>
      <sheetName val="MER5"/>
      <sheetName val="All ME SFPos"/>
      <sheetName val="ME Total SPerf"/>
      <sheetName val="Parent SFPos"/>
      <sheetName val="Cash Flow"/>
      <sheetName val="SFPerf Consol"/>
      <sheetName val="Consolidated SFPos"/>
      <sheetName val="Capex"/>
      <sheetName val="SFPerfDept"/>
      <sheetName val="SFPerf"/>
      <sheetName val="Economic assumptions"/>
      <sheetName val="Targets"/>
      <sheetName val="Munitoria PPP"/>
      <sheetName val="Statistics"/>
      <sheetName val="Tables"/>
      <sheetName val="Asset Reg"/>
      <sheetName val="New structure by DEPT"/>
      <sheetName val="Loan repayment schedule"/>
      <sheetName val="Investments"/>
      <sheetName val="MIIF"/>
      <sheetName val="Capital Budget"/>
      <sheetName val="Capex funding schedule"/>
      <sheetName val="New borrowing"/>
      <sheetName val="Parent SFPos excl RED"/>
      <sheetName val="Employee costs"/>
      <sheetName val="Funding option calcs"/>
      <sheetName val="Bad debts"/>
      <sheetName val="General Assess"/>
      <sheetName val="Governing"/>
      <sheetName val="MM"/>
      <sheetName val="COO"/>
      <sheetName val="Finance"/>
      <sheetName val="Corporate Services"/>
      <sheetName val="Legal"/>
      <sheetName val="Economic Dev"/>
      <sheetName val="Transport"/>
      <sheetName val="Marketing"/>
      <sheetName val="Health and Social"/>
      <sheetName val="Emergency"/>
      <sheetName val="Metropol"/>
      <sheetName val="Housing"/>
      <sheetName val="Roads and Stormwater"/>
      <sheetName val="Water and Sanitation"/>
      <sheetName val="Electricity"/>
      <sheetName val="RTWST"/>
      <sheetName val="Civirelo"/>
      <sheetName val="Sheet1"/>
      <sheetName val="Sandspruit"/>
      <sheetName val="ME report"/>
      <sheetName val="Tshwane Housing Co"/>
      <sheetName val="Lebone"/>
      <sheetName val="Trade Point"/>
      <sheetName val="TCBIS"/>
      <sheetName val="ESAT"/>
      <sheetName val="New structure Control SFP"/>
      <sheetName val="EM &amp; MM"/>
      <sheetName val="MM IT ex Corp Serv"/>
      <sheetName val="Gen Assess"/>
      <sheetName val="Financial Services"/>
      <sheetName val="Corporate &amp; Shared"/>
      <sheetName val="Community Safety"/>
      <sheetName val="Economic Development"/>
      <sheetName val="Health &amp; Social"/>
      <sheetName val="Ambulance"/>
      <sheetName val="Sport &amp; Recreation"/>
      <sheetName val="Housing Services"/>
      <sheetName val="Agriculture &amp; EM"/>
      <sheetName val="Public Works"/>
      <sheetName val="REDS"/>
      <sheetName val="Roads &amp; Stormwater"/>
      <sheetName val="Transport Development"/>
      <sheetName val="Water &amp; Sanitation"/>
      <sheetName val="City Planning &amp; RS"/>
      <sheetName val="% allocations"/>
    </sheetNames>
    <sheetDataSet>
      <sheetData sheetId="0" refreshError="1"/>
      <sheetData sheetId="1" refreshError="1"/>
      <sheetData sheetId="2" refreshError="1"/>
      <sheetData sheetId="3" refreshError="1">
        <row r="89">
          <cell r="B89" t="str">
            <v>Measureable performance objectives - Note 20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row r="14">
          <cell r="G14">
            <v>5500000</v>
          </cell>
        </row>
        <row r="17">
          <cell r="G17">
            <v>3408884.3790000002</v>
          </cell>
          <cell r="I17">
            <v>2999986.2930000001</v>
          </cell>
        </row>
        <row r="24">
          <cell r="G24">
            <v>44932.11</v>
          </cell>
          <cell r="I24">
            <v>40892.129999999997</v>
          </cell>
        </row>
        <row r="71">
          <cell r="I71">
            <v>0</v>
          </cell>
          <cell r="K71">
            <v>25000</v>
          </cell>
          <cell r="M71">
            <v>27500</v>
          </cell>
          <cell r="O71">
            <v>25450.75</v>
          </cell>
        </row>
      </sheetData>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row r="9">
          <cell r="I9">
            <v>0</v>
          </cell>
          <cell r="K9">
            <v>1000000</v>
          </cell>
          <cell r="M9">
            <v>1500000</v>
          </cell>
          <cell r="O9">
            <v>2000000</v>
          </cell>
        </row>
        <row r="12">
          <cell r="I12">
            <v>3000000</v>
          </cell>
          <cell r="K12">
            <v>3000000</v>
          </cell>
          <cell r="M12">
            <v>3000000</v>
          </cell>
          <cell r="O12">
            <v>3000000</v>
          </cell>
        </row>
        <row r="32">
          <cell r="I32">
            <v>350000</v>
          </cell>
          <cell r="K32">
            <v>318000</v>
          </cell>
          <cell r="M32">
            <v>354000</v>
          </cell>
        </row>
        <row r="46">
          <cell r="C46" t="str">
            <v>1261- Information Technology</v>
          </cell>
          <cell r="I46">
            <v>8000</v>
          </cell>
        </row>
        <row r="47">
          <cell r="C47" t="str">
            <v>1263 - Security</v>
          </cell>
          <cell r="I47">
            <v>7000</v>
          </cell>
        </row>
        <row r="48">
          <cell r="C48" t="str">
            <v>1265 - Cleaning</v>
          </cell>
          <cell r="I48">
            <v>6000</v>
          </cell>
        </row>
        <row r="49">
          <cell r="C49" t="str">
            <v>xxxx - Rent Premises</v>
          </cell>
          <cell r="I49">
            <v>252000</v>
          </cell>
        </row>
        <row r="50">
          <cell r="C50" t="str">
            <v>1270 - Internal audit</v>
          </cell>
          <cell r="I50">
            <v>130000</v>
          </cell>
        </row>
        <row r="76">
          <cell r="K76">
            <v>25000</v>
          </cell>
          <cell r="M76">
            <v>27500</v>
          </cell>
          <cell r="O76">
            <v>25450.75</v>
          </cell>
        </row>
        <row r="81">
          <cell r="C81" t="str">
            <v>Livestock Improvement</v>
          </cell>
          <cell r="I81">
            <v>100000</v>
          </cell>
          <cell r="K81">
            <v>80000</v>
          </cell>
          <cell r="M81">
            <v>88000</v>
          </cell>
          <cell r="O81">
            <v>88000</v>
          </cell>
        </row>
        <row r="82">
          <cell r="C82" t="str">
            <v>Restitued Farms: Makgoba</v>
          </cell>
          <cell r="I82">
            <v>65000</v>
          </cell>
          <cell r="K82">
            <v>60000</v>
          </cell>
          <cell r="M82">
            <v>66000</v>
          </cell>
          <cell r="O82">
            <v>66000</v>
          </cell>
        </row>
        <row r="83">
          <cell r="C83" t="str">
            <v>Greater Tzn Tourism Development</v>
          </cell>
          <cell r="I83">
            <v>50000</v>
          </cell>
          <cell r="K83">
            <v>80000</v>
          </cell>
          <cell r="M83">
            <v>88000</v>
          </cell>
          <cell r="O83">
            <v>88000</v>
          </cell>
        </row>
        <row r="84">
          <cell r="C84" t="str">
            <v>New Shopping Centres</v>
          </cell>
          <cell r="I84">
            <v>100000</v>
          </cell>
          <cell r="K84">
            <v>100000</v>
          </cell>
          <cell r="M84">
            <v>110000</v>
          </cell>
          <cell r="O84">
            <v>110000</v>
          </cell>
        </row>
        <row r="85">
          <cell r="C85" t="str">
            <v>Business Support Centre</v>
          </cell>
          <cell r="I85">
            <v>70000</v>
          </cell>
          <cell r="K85">
            <v>80000</v>
          </cell>
          <cell r="M85">
            <v>88000</v>
          </cell>
          <cell r="O85">
            <v>80000</v>
          </cell>
        </row>
        <row r="86">
          <cell r="C86" t="str">
            <v>Community Radio Station</v>
          </cell>
          <cell r="I86">
            <v>70000</v>
          </cell>
          <cell r="K86">
            <v>50000</v>
          </cell>
          <cell r="M86">
            <v>55000</v>
          </cell>
          <cell r="O86">
            <v>55000</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13.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image" Target="../media/image17.emf"/><Relationship Id="rId7" Type="http://schemas.openxmlformats.org/officeDocument/2006/relationships/image" Target="../media/image10.emf"/><Relationship Id="rId12" Type="http://schemas.openxmlformats.org/officeDocument/2006/relationships/control" Target="../activeX/activeX5.xml"/><Relationship Id="rId17" Type="http://schemas.openxmlformats.org/officeDocument/2006/relationships/image" Target="../media/image15.emf"/><Relationship Id="rId2" Type="http://schemas.openxmlformats.org/officeDocument/2006/relationships/drawing" Target="../drawings/drawing2.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12.emf"/><Relationship Id="rId5" Type="http://schemas.openxmlformats.org/officeDocument/2006/relationships/image" Target="../media/image9.emf"/><Relationship Id="rId15" Type="http://schemas.openxmlformats.org/officeDocument/2006/relationships/image" Target="../media/image14.emf"/><Relationship Id="rId23" Type="http://schemas.openxmlformats.org/officeDocument/2006/relationships/ctrlProp" Target="../ctrlProps/ctrlProp2.xml"/><Relationship Id="rId10" Type="http://schemas.openxmlformats.org/officeDocument/2006/relationships/control" Target="../activeX/activeX4.xml"/><Relationship Id="rId19" Type="http://schemas.openxmlformats.org/officeDocument/2006/relationships/image" Target="../media/image16.emf"/><Relationship Id="rId4" Type="http://schemas.openxmlformats.org/officeDocument/2006/relationships/control" Target="../activeX/activeX1.xml"/><Relationship Id="rId9" Type="http://schemas.openxmlformats.org/officeDocument/2006/relationships/image" Target="../media/image11.emf"/><Relationship Id="rId14" Type="http://schemas.openxmlformats.org/officeDocument/2006/relationships/control" Target="../activeX/activeX6.xml"/><Relationship Id="rId22"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6"/>
  </sheetPr>
  <dimension ref="A1"/>
  <sheetViews>
    <sheetView showGridLines="0" zoomScale="110" workbookViewId="0"/>
  </sheetViews>
  <sheetFormatPr defaultColWidth="8" defaultRowHeight="12.75" x14ac:dyDescent="0.2"/>
  <cols>
    <col min="1" max="16384" width="8" style="547"/>
  </cols>
  <sheetData>
    <row r="1" spans="1:1" x14ac:dyDescent="0.2">
      <c r="A1" s="547" t="str">
        <f>'Lookup and lists'!B28</f>
        <v>LIM333 Greater Tzaneen</v>
      </c>
    </row>
  </sheetData>
  <sheetProtection sheet="1" objects="1" scenarios="1"/>
  <phoneticPr fontId="18" type="noConversion"/>
  <pageMargins left="0.75" right="0.75" top="1" bottom="1" header="0.5" footer="0.5"/>
  <pageSetup orientation="portrait" horizontalDpi="4294967293"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1">
    <tabColor rgb="FFCCFFCC"/>
    <pageSetUpPr fitToPage="1"/>
  </sheetPr>
  <dimension ref="A1:K36"/>
  <sheetViews>
    <sheetView showGridLines="0" workbookViewId="0">
      <pane xSplit="2" ySplit="4" topLeftCell="C5" activePane="bottomRight" state="frozen"/>
      <selection activeCell="G21" sqref="G21"/>
      <selection pane="topRight" activeCell="G21" sqref="G21"/>
      <selection pane="bottomLeft" activeCell="G21" sqref="G21"/>
      <selection pane="bottomRight" activeCell="F32" sqref="F32"/>
    </sheetView>
  </sheetViews>
  <sheetFormatPr defaultRowHeight="12.75" x14ac:dyDescent="0.25"/>
  <cols>
    <col min="1" max="1" width="30.7109375" style="20" customWidth="1"/>
    <col min="2" max="2" width="15.7109375" style="20" customWidth="1"/>
    <col min="3" max="11" width="8.7109375" style="20" customWidth="1"/>
    <col min="12" max="16384" width="9.140625" style="20"/>
  </cols>
  <sheetData>
    <row r="1" spans="1:11" ht="13.5" x14ac:dyDescent="0.25">
      <c r="A1" s="113" t="str">
        <f>_MEB6</f>
        <v>Greater Tzaneen Economic Development Agency (GTEDA) - Supporting Table SD1 Measurable performance targets</v>
      </c>
      <c r="B1" s="43"/>
    </row>
    <row r="2" spans="1:11" ht="25.5" customHeight="1" x14ac:dyDescent="0.25">
      <c r="A2" s="623" t="s">
        <v>466</v>
      </c>
      <c r="B2" s="623" t="s">
        <v>53</v>
      </c>
      <c r="C2" s="109" t="str">
        <f>head1b</f>
        <v>2012/13</v>
      </c>
      <c r="D2" s="21" t="str">
        <f>head1A</f>
        <v>2013/14</v>
      </c>
      <c r="E2" s="103" t="str">
        <f>Head1</f>
        <v>2014/15</v>
      </c>
      <c r="F2" s="629" t="str">
        <f>Head2</f>
        <v>Current Year 2015/16</v>
      </c>
      <c r="G2" s="630"/>
      <c r="H2" s="631"/>
      <c r="I2" s="629" t="str">
        <f>Head3a</f>
        <v>Medium Term Revenue and Expenditure Framework</v>
      </c>
      <c r="J2" s="630"/>
      <c r="K2" s="631"/>
    </row>
    <row r="3" spans="1:11" ht="13.5" customHeight="1" x14ac:dyDescent="0.25">
      <c r="A3" s="624"/>
      <c r="B3" s="624"/>
      <c r="C3" s="625" t="str">
        <f>Head5</f>
        <v>Audited Outcome</v>
      </c>
      <c r="D3" s="627" t="str">
        <f>Head5</f>
        <v>Audited Outcome</v>
      </c>
      <c r="E3" s="636" t="str">
        <f>Head5</f>
        <v>Audited Outcome</v>
      </c>
      <c r="F3" s="632" t="str">
        <f>Head6</f>
        <v>Original Budget</v>
      </c>
      <c r="G3" s="634" t="str">
        <f>Head7</f>
        <v>Adjusted Budget</v>
      </c>
      <c r="H3" s="636" t="str">
        <f>Head8</f>
        <v>Full Year Forecast</v>
      </c>
      <c r="I3" s="632" t="str">
        <f>Head9</f>
        <v>Budget Year 2016/17</v>
      </c>
      <c r="J3" s="634" t="str">
        <f>Head10</f>
        <v>Budget Year +1 2017/18</v>
      </c>
      <c r="K3" s="636" t="str">
        <f>Head11</f>
        <v>Budget Year +2 2018/19</v>
      </c>
    </row>
    <row r="4" spans="1:11" ht="13.5" customHeight="1" x14ac:dyDescent="0.25">
      <c r="A4" s="640"/>
      <c r="B4" s="640"/>
      <c r="C4" s="626"/>
      <c r="D4" s="628"/>
      <c r="E4" s="637"/>
      <c r="F4" s="633"/>
      <c r="G4" s="635"/>
      <c r="H4" s="637"/>
      <c r="I4" s="633"/>
      <c r="J4" s="635"/>
      <c r="K4" s="637"/>
    </row>
    <row r="5" spans="1:11" ht="12.75" customHeight="1" x14ac:dyDescent="0.25">
      <c r="A5" s="298" t="s">
        <v>1034</v>
      </c>
      <c r="B5" s="299"/>
      <c r="C5" s="284"/>
      <c r="D5" s="282"/>
      <c r="E5" s="283"/>
      <c r="F5" s="284"/>
      <c r="G5" s="282"/>
      <c r="H5" s="283"/>
      <c r="I5" s="284"/>
      <c r="J5" s="282"/>
      <c r="K5" s="283"/>
    </row>
    <row r="6" spans="1:11" ht="12.75" customHeight="1" x14ac:dyDescent="0.25">
      <c r="A6" s="298" t="s">
        <v>1043</v>
      </c>
      <c r="B6" s="299" t="s">
        <v>623</v>
      </c>
      <c r="C6" s="284" t="s">
        <v>1033</v>
      </c>
      <c r="D6" s="284" t="s">
        <v>1033</v>
      </c>
      <c r="E6" s="284" t="s">
        <v>1033</v>
      </c>
      <c r="F6" s="284" t="s">
        <v>1033</v>
      </c>
      <c r="G6" s="284" t="s">
        <v>1033</v>
      </c>
      <c r="H6" s="284" t="s">
        <v>1033</v>
      </c>
      <c r="I6" s="284">
        <v>1</v>
      </c>
      <c r="J6" s="282">
        <v>1</v>
      </c>
      <c r="K6" s="283">
        <v>1</v>
      </c>
    </row>
    <row r="7" spans="1:11" ht="12.75" customHeight="1" x14ac:dyDescent="0.25">
      <c r="A7" s="300" t="s">
        <v>1044</v>
      </c>
      <c r="B7" s="301" t="s">
        <v>623</v>
      </c>
      <c r="C7" s="284" t="s">
        <v>1033</v>
      </c>
      <c r="D7" s="284" t="s">
        <v>1033</v>
      </c>
      <c r="E7" s="284" t="s">
        <v>1033</v>
      </c>
      <c r="F7" s="284" t="s">
        <v>1033</v>
      </c>
      <c r="G7" s="284" t="s">
        <v>1033</v>
      </c>
      <c r="H7" s="284" t="s">
        <v>1033</v>
      </c>
      <c r="I7" s="284">
        <v>1</v>
      </c>
      <c r="J7" s="282">
        <v>1</v>
      </c>
      <c r="K7" s="283">
        <v>1</v>
      </c>
    </row>
    <row r="8" spans="1:11" ht="12.75" customHeight="1" x14ac:dyDescent="0.25">
      <c r="A8" s="300" t="s">
        <v>1045</v>
      </c>
      <c r="B8" s="301" t="s">
        <v>623</v>
      </c>
      <c r="C8" s="284" t="s">
        <v>1033</v>
      </c>
      <c r="D8" s="284" t="s">
        <v>1033</v>
      </c>
      <c r="E8" s="284" t="s">
        <v>1033</v>
      </c>
      <c r="F8" s="284" t="s">
        <v>1033</v>
      </c>
      <c r="G8" s="284" t="s">
        <v>1033</v>
      </c>
      <c r="H8" s="284" t="s">
        <v>1033</v>
      </c>
      <c r="I8" s="284">
        <v>4</v>
      </c>
      <c r="J8" s="282">
        <v>4</v>
      </c>
      <c r="K8" s="283">
        <v>4</v>
      </c>
    </row>
    <row r="9" spans="1:11" ht="12.75" customHeight="1" x14ac:dyDescent="0.25">
      <c r="A9" s="300" t="s">
        <v>1046</v>
      </c>
      <c r="B9" s="301" t="s">
        <v>623</v>
      </c>
      <c r="C9" s="284" t="s">
        <v>1033</v>
      </c>
      <c r="D9" s="284" t="s">
        <v>1033</v>
      </c>
      <c r="E9" s="284" t="s">
        <v>1033</v>
      </c>
      <c r="F9" s="284" t="s">
        <v>1033</v>
      </c>
      <c r="G9" s="284" t="s">
        <v>1033</v>
      </c>
      <c r="H9" s="284" t="s">
        <v>1033</v>
      </c>
      <c r="I9" s="284">
        <v>4</v>
      </c>
      <c r="J9" s="284">
        <v>4</v>
      </c>
      <c r="K9" s="284">
        <v>4</v>
      </c>
    </row>
    <row r="10" spans="1:11" ht="12.75" customHeight="1" x14ac:dyDescent="0.25">
      <c r="A10" s="300" t="s">
        <v>1047</v>
      </c>
      <c r="B10" s="301" t="s">
        <v>623</v>
      </c>
      <c r="C10" s="284" t="s">
        <v>1033</v>
      </c>
      <c r="D10" s="284" t="s">
        <v>1033</v>
      </c>
      <c r="E10" s="284" t="s">
        <v>1033</v>
      </c>
      <c r="F10" s="284" t="s">
        <v>1033</v>
      </c>
      <c r="G10" s="284" t="s">
        <v>1033</v>
      </c>
      <c r="H10" s="284" t="s">
        <v>1033</v>
      </c>
      <c r="I10" s="284">
        <v>1</v>
      </c>
      <c r="J10" s="282">
        <v>1</v>
      </c>
      <c r="K10" s="283">
        <v>1</v>
      </c>
    </row>
    <row r="11" spans="1:11" ht="12.75" customHeight="1" x14ac:dyDescent="0.25">
      <c r="A11" s="298" t="s">
        <v>1048</v>
      </c>
      <c r="B11" s="301" t="s">
        <v>623</v>
      </c>
      <c r="C11" s="284" t="s">
        <v>1033</v>
      </c>
      <c r="D11" s="284" t="s">
        <v>1033</v>
      </c>
      <c r="E11" s="284" t="s">
        <v>1033</v>
      </c>
      <c r="F11" s="284" t="s">
        <v>1033</v>
      </c>
      <c r="G11" s="284" t="s">
        <v>1033</v>
      </c>
      <c r="H11" s="284" t="s">
        <v>1033</v>
      </c>
      <c r="I11" s="284">
        <v>1</v>
      </c>
      <c r="J11" s="282">
        <v>1</v>
      </c>
      <c r="K11" s="283">
        <v>1</v>
      </c>
    </row>
    <row r="12" spans="1:11" ht="12.75" customHeight="1" x14ac:dyDescent="0.25">
      <c r="A12" s="300" t="s">
        <v>1049</v>
      </c>
      <c r="B12" s="301" t="s">
        <v>623</v>
      </c>
      <c r="C12" s="284" t="s">
        <v>1033</v>
      </c>
      <c r="D12" s="284" t="s">
        <v>1033</v>
      </c>
      <c r="E12" s="284" t="s">
        <v>1033</v>
      </c>
      <c r="F12" s="284" t="s">
        <v>1033</v>
      </c>
      <c r="G12" s="284" t="s">
        <v>1033</v>
      </c>
      <c r="H12" s="284" t="s">
        <v>1033</v>
      </c>
      <c r="I12" s="284">
        <v>4</v>
      </c>
      <c r="J12" s="282">
        <v>4</v>
      </c>
      <c r="K12" s="283">
        <v>4</v>
      </c>
    </row>
    <row r="13" spans="1:11" ht="12.75" customHeight="1" x14ac:dyDescent="0.25">
      <c r="A13" s="300" t="s">
        <v>1050</v>
      </c>
      <c r="B13" s="301"/>
      <c r="C13" s="284"/>
      <c r="D13" s="282"/>
      <c r="E13" s="283"/>
      <c r="F13" s="284"/>
      <c r="G13" s="282"/>
      <c r="H13" s="283"/>
      <c r="I13" s="284"/>
      <c r="J13" s="282"/>
      <c r="K13" s="283"/>
    </row>
    <row r="14" spans="1:11" ht="12.75" customHeight="1" x14ac:dyDescent="0.25">
      <c r="A14" s="300" t="s">
        <v>1052</v>
      </c>
      <c r="B14" s="301" t="s">
        <v>1051</v>
      </c>
      <c r="C14" s="284" t="s">
        <v>1033</v>
      </c>
      <c r="D14" s="284" t="s">
        <v>1033</v>
      </c>
      <c r="E14" s="284" t="s">
        <v>1033</v>
      </c>
      <c r="F14" s="284" t="s">
        <v>1033</v>
      </c>
      <c r="G14" s="284" t="s">
        <v>1033</v>
      </c>
      <c r="H14" s="284" t="s">
        <v>1033</v>
      </c>
      <c r="I14" s="284">
        <v>100</v>
      </c>
      <c r="J14" s="282">
        <v>100</v>
      </c>
      <c r="K14" s="283">
        <v>100</v>
      </c>
    </row>
    <row r="15" spans="1:11" ht="12.75" customHeight="1" x14ac:dyDescent="0.25">
      <c r="A15" s="298" t="s">
        <v>1053</v>
      </c>
      <c r="B15" s="301" t="s">
        <v>1051</v>
      </c>
      <c r="C15" s="284" t="s">
        <v>1033</v>
      </c>
      <c r="D15" s="284" t="s">
        <v>1033</v>
      </c>
      <c r="E15" s="284" t="s">
        <v>1033</v>
      </c>
      <c r="F15" s="284" t="s">
        <v>1033</v>
      </c>
      <c r="G15" s="284" t="s">
        <v>1033</v>
      </c>
      <c r="H15" s="284" t="s">
        <v>1033</v>
      </c>
      <c r="I15" s="284">
        <v>100</v>
      </c>
      <c r="J15" s="282">
        <v>100</v>
      </c>
      <c r="K15" s="283">
        <v>100</v>
      </c>
    </row>
    <row r="16" spans="1:11" ht="12.75" customHeight="1" x14ac:dyDescent="0.25">
      <c r="A16" s="300" t="s">
        <v>1054</v>
      </c>
      <c r="B16" s="301" t="s">
        <v>1051</v>
      </c>
      <c r="C16" s="284" t="s">
        <v>1033</v>
      </c>
      <c r="D16" s="284" t="s">
        <v>1033</v>
      </c>
      <c r="E16" s="284" t="s">
        <v>1033</v>
      </c>
      <c r="F16" s="284" t="s">
        <v>1033</v>
      </c>
      <c r="G16" s="284" t="s">
        <v>1033</v>
      </c>
      <c r="H16" s="284" t="s">
        <v>1033</v>
      </c>
      <c r="I16" s="284">
        <v>100</v>
      </c>
      <c r="J16" s="282">
        <v>100</v>
      </c>
      <c r="K16" s="283">
        <v>100</v>
      </c>
    </row>
    <row r="17" spans="1:11" ht="12.75" customHeight="1" x14ac:dyDescent="0.25">
      <c r="A17" s="304" t="s">
        <v>1030</v>
      </c>
      <c r="B17" s="301"/>
      <c r="C17" s="284"/>
      <c r="D17" s="284"/>
      <c r="E17" s="284"/>
      <c r="F17" s="284"/>
      <c r="G17" s="282"/>
      <c r="H17" s="283"/>
      <c r="I17" s="284"/>
      <c r="J17" s="282"/>
      <c r="K17" s="283"/>
    </row>
    <row r="18" spans="1:11" ht="12.75" customHeight="1" x14ac:dyDescent="0.25">
      <c r="A18" s="300" t="s">
        <v>1055</v>
      </c>
      <c r="B18" s="301" t="s">
        <v>623</v>
      </c>
      <c r="C18" s="284">
        <v>1</v>
      </c>
      <c r="D18" s="282">
        <v>1</v>
      </c>
      <c r="E18" s="283">
        <v>1</v>
      </c>
      <c r="F18" s="284">
        <v>1</v>
      </c>
      <c r="G18" s="282">
        <v>1</v>
      </c>
      <c r="H18" s="283">
        <v>1</v>
      </c>
      <c r="I18" s="284">
        <v>1</v>
      </c>
      <c r="J18" s="282">
        <v>1</v>
      </c>
      <c r="K18" s="283">
        <v>1</v>
      </c>
    </row>
    <row r="19" spans="1:11" ht="12.75" customHeight="1" x14ac:dyDescent="0.25">
      <c r="A19" s="300" t="s">
        <v>1056</v>
      </c>
      <c r="B19" s="301" t="s">
        <v>623</v>
      </c>
      <c r="C19" s="284">
        <v>1</v>
      </c>
      <c r="D19" s="282">
        <v>1</v>
      </c>
      <c r="E19" s="283">
        <v>1</v>
      </c>
      <c r="F19" s="284">
        <v>1</v>
      </c>
      <c r="G19" s="282">
        <v>1</v>
      </c>
      <c r="H19" s="283">
        <v>1</v>
      </c>
      <c r="I19" s="284">
        <v>1</v>
      </c>
      <c r="J19" s="282">
        <v>1</v>
      </c>
      <c r="K19" s="283">
        <v>1</v>
      </c>
    </row>
    <row r="20" spans="1:11" ht="12.75" customHeight="1" x14ac:dyDescent="0.25">
      <c r="A20" s="300" t="s">
        <v>1057</v>
      </c>
      <c r="B20" s="301" t="s">
        <v>623</v>
      </c>
      <c r="C20" s="284">
        <v>1</v>
      </c>
      <c r="D20" s="282">
        <v>1</v>
      </c>
      <c r="E20" s="283">
        <v>1</v>
      </c>
      <c r="F20" s="284">
        <v>1</v>
      </c>
      <c r="G20" s="282">
        <v>1</v>
      </c>
      <c r="H20" s="283">
        <v>1</v>
      </c>
      <c r="I20" s="284">
        <v>1</v>
      </c>
      <c r="J20" s="282">
        <v>12</v>
      </c>
      <c r="K20" s="283">
        <v>12</v>
      </c>
    </row>
    <row r="21" spans="1:11" ht="12.75" customHeight="1" x14ac:dyDescent="0.25">
      <c r="A21" s="300" t="s">
        <v>1058</v>
      </c>
      <c r="B21" s="301" t="s">
        <v>1059</v>
      </c>
      <c r="C21" s="284">
        <v>0</v>
      </c>
      <c r="D21" s="282">
        <v>0</v>
      </c>
      <c r="E21" s="283">
        <v>0</v>
      </c>
      <c r="F21" s="284">
        <v>1200000</v>
      </c>
      <c r="G21" s="284">
        <v>1200000</v>
      </c>
      <c r="H21" s="284" t="s">
        <v>1033</v>
      </c>
      <c r="I21" s="284">
        <v>1250000</v>
      </c>
      <c r="J21" s="282">
        <v>1000000</v>
      </c>
      <c r="K21" s="283">
        <v>1500000</v>
      </c>
    </row>
    <row r="22" spans="1:11" ht="12.75" customHeight="1" x14ac:dyDescent="0.25">
      <c r="A22" s="520" t="s">
        <v>1060</v>
      </c>
      <c r="B22" s="301" t="s">
        <v>1051</v>
      </c>
      <c r="C22" s="284">
        <v>100</v>
      </c>
      <c r="D22" s="282">
        <v>100</v>
      </c>
      <c r="E22" s="283">
        <v>100</v>
      </c>
      <c r="F22" s="284">
        <v>100</v>
      </c>
      <c r="G22" s="282">
        <v>100</v>
      </c>
      <c r="H22" s="283">
        <v>100</v>
      </c>
      <c r="I22" s="284">
        <v>100</v>
      </c>
      <c r="J22" s="282">
        <v>100</v>
      </c>
      <c r="K22" s="283">
        <v>100</v>
      </c>
    </row>
    <row r="23" spans="1:11" ht="12.75" customHeight="1" x14ac:dyDescent="0.25">
      <c r="A23" s="300" t="s">
        <v>1031</v>
      </c>
      <c r="B23" s="301"/>
      <c r="C23" s="284"/>
      <c r="D23" s="284"/>
      <c r="E23" s="284"/>
      <c r="F23" s="284"/>
      <c r="G23" s="284"/>
      <c r="H23" s="284"/>
      <c r="I23" s="284"/>
      <c r="J23" s="282"/>
      <c r="K23" s="283"/>
    </row>
    <row r="24" spans="1:11" ht="12.75" customHeight="1" x14ac:dyDescent="0.25">
      <c r="A24" s="300" t="s">
        <v>1035</v>
      </c>
      <c r="B24" s="301" t="s">
        <v>623</v>
      </c>
      <c r="C24" s="284" t="s">
        <v>1033</v>
      </c>
      <c r="D24" s="284" t="s">
        <v>1033</v>
      </c>
      <c r="E24" s="284" t="s">
        <v>1033</v>
      </c>
      <c r="F24" s="284" t="s">
        <v>1033</v>
      </c>
      <c r="G24" s="284" t="s">
        <v>1033</v>
      </c>
      <c r="H24" s="284" t="s">
        <v>1033</v>
      </c>
      <c r="I24" s="284">
        <f>4</f>
        <v>4</v>
      </c>
      <c r="J24" s="282">
        <v>1</v>
      </c>
      <c r="K24" s="283">
        <v>1</v>
      </c>
    </row>
    <row r="25" spans="1:11" ht="12.75" customHeight="1" x14ac:dyDescent="0.25">
      <c r="A25" s="300" t="s">
        <v>1036</v>
      </c>
      <c r="B25" s="301" t="s">
        <v>623</v>
      </c>
      <c r="C25" s="284" t="s">
        <v>1033</v>
      </c>
      <c r="D25" s="284" t="s">
        <v>1033</v>
      </c>
      <c r="E25" s="284" t="s">
        <v>1033</v>
      </c>
      <c r="F25" s="284" t="s">
        <v>1033</v>
      </c>
      <c r="G25" s="284" t="s">
        <v>1033</v>
      </c>
      <c r="H25" s="284" t="s">
        <v>1033</v>
      </c>
      <c r="I25" s="284">
        <v>1</v>
      </c>
      <c r="J25" s="282">
        <v>2</v>
      </c>
      <c r="K25" s="283">
        <v>2</v>
      </c>
    </row>
    <row r="26" spans="1:11" ht="12.75" customHeight="1" x14ac:dyDescent="0.25">
      <c r="A26" s="300" t="s">
        <v>1042</v>
      </c>
      <c r="B26" s="301" t="s">
        <v>623</v>
      </c>
      <c r="C26" s="284" t="s">
        <v>1033</v>
      </c>
      <c r="D26" s="284" t="s">
        <v>1033</v>
      </c>
      <c r="E26" s="284" t="s">
        <v>1033</v>
      </c>
      <c r="F26" s="284" t="s">
        <v>1033</v>
      </c>
      <c r="G26" s="284" t="s">
        <v>1033</v>
      </c>
      <c r="H26" s="284" t="s">
        <v>1033</v>
      </c>
      <c r="I26" s="284">
        <v>2</v>
      </c>
      <c r="J26" s="282">
        <v>1</v>
      </c>
      <c r="K26" s="283">
        <v>1</v>
      </c>
    </row>
    <row r="27" spans="1:11" ht="12.75" customHeight="1" x14ac:dyDescent="0.25">
      <c r="A27" s="300" t="s">
        <v>1037</v>
      </c>
      <c r="B27" s="301" t="s">
        <v>623</v>
      </c>
      <c r="C27" s="284" t="s">
        <v>1033</v>
      </c>
      <c r="D27" s="284" t="s">
        <v>1033</v>
      </c>
      <c r="E27" s="284" t="s">
        <v>1033</v>
      </c>
      <c r="F27" s="284" t="s">
        <v>1033</v>
      </c>
      <c r="G27" s="282"/>
      <c r="H27" s="284" t="s">
        <v>1033</v>
      </c>
      <c r="I27" s="284">
        <v>2</v>
      </c>
      <c r="J27" s="282">
        <v>2</v>
      </c>
      <c r="K27" s="283">
        <v>2</v>
      </c>
    </row>
    <row r="28" spans="1:11" ht="12.75" customHeight="1" x14ac:dyDescent="0.25">
      <c r="A28" s="300" t="s">
        <v>1038</v>
      </c>
      <c r="B28" s="301" t="s">
        <v>623</v>
      </c>
      <c r="C28" s="284" t="s">
        <v>1033</v>
      </c>
      <c r="D28" s="284" t="s">
        <v>1033</v>
      </c>
      <c r="E28" s="284" t="s">
        <v>1033</v>
      </c>
      <c r="F28" s="284" t="s">
        <v>1033</v>
      </c>
      <c r="G28" s="282"/>
      <c r="H28" s="284" t="s">
        <v>1033</v>
      </c>
      <c r="I28" s="284">
        <v>1</v>
      </c>
      <c r="J28" s="282">
        <v>2</v>
      </c>
      <c r="K28" s="283">
        <v>2</v>
      </c>
    </row>
    <row r="29" spans="1:11" ht="12.75" customHeight="1" x14ac:dyDescent="0.25">
      <c r="A29" s="300" t="s">
        <v>1039</v>
      </c>
      <c r="B29" s="301" t="s">
        <v>623</v>
      </c>
      <c r="C29" s="284" t="s">
        <v>1033</v>
      </c>
      <c r="D29" s="284" t="s">
        <v>1033</v>
      </c>
      <c r="E29" s="284" t="s">
        <v>1033</v>
      </c>
      <c r="F29" s="284" t="s">
        <v>1033</v>
      </c>
      <c r="G29" s="282"/>
      <c r="H29" s="284" t="s">
        <v>1033</v>
      </c>
      <c r="I29" s="284">
        <v>12</v>
      </c>
      <c r="J29" s="282">
        <v>12</v>
      </c>
      <c r="K29" s="283">
        <v>12</v>
      </c>
    </row>
    <row r="30" spans="1:11" ht="12.75" customHeight="1" x14ac:dyDescent="0.25">
      <c r="A30" s="302" t="s">
        <v>1040</v>
      </c>
      <c r="B30" s="301"/>
      <c r="C30" s="284"/>
      <c r="D30" s="282"/>
      <c r="E30" s="283"/>
      <c r="F30" s="284"/>
      <c r="G30" s="282"/>
      <c r="H30" s="283"/>
      <c r="I30" s="284"/>
      <c r="J30" s="282"/>
      <c r="K30" s="283"/>
    </row>
    <row r="31" spans="1:11" ht="12.75" customHeight="1" x14ac:dyDescent="0.25">
      <c r="A31" s="300" t="s">
        <v>1032</v>
      </c>
      <c r="B31" s="303"/>
      <c r="C31" s="284"/>
      <c r="D31" s="284"/>
      <c r="E31" s="284"/>
      <c r="F31" s="284"/>
      <c r="G31" s="284"/>
      <c r="H31" s="284"/>
      <c r="I31" s="284"/>
      <c r="J31" s="282"/>
      <c r="K31" s="283"/>
    </row>
    <row r="32" spans="1:11" ht="12.75" customHeight="1" x14ac:dyDescent="0.25">
      <c r="A32" s="300" t="s">
        <v>1041</v>
      </c>
      <c r="B32" s="303" t="s">
        <v>623</v>
      </c>
      <c r="C32" s="284" t="s">
        <v>1033</v>
      </c>
      <c r="D32" s="284" t="s">
        <v>1033</v>
      </c>
      <c r="E32" s="284" t="s">
        <v>1033</v>
      </c>
      <c r="F32" s="284" t="s">
        <v>1033</v>
      </c>
      <c r="G32" s="284" t="s">
        <v>1033</v>
      </c>
      <c r="H32" s="284" t="s">
        <v>1033</v>
      </c>
      <c r="I32" s="284">
        <v>1</v>
      </c>
      <c r="J32" s="282" t="s">
        <v>1033</v>
      </c>
      <c r="K32" s="283" t="s">
        <v>1033</v>
      </c>
    </row>
    <row r="33" spans="1:11" ht="12.75" customHeight="1" x14ac:dyDescent="0.25">
      <c r="A33" s="300"/>
      <c r="B33" s="305"/>
      <c r="C33" s="306"/>
      <c r="D33" s="307"/>
      <c r="E33" s="308"/>
      <c r="F33" s="306"/>
      <c r="G33" s="307"/>
      <c r="H33" s="308"/>
      <c r="I33" s="306"/>
      <c r="J33" s="307"/>
      <c r="K33" s="308"/>
    </row>
    <row r="34" spans="1:11" ht="12.75" customHeight="1" x14ac:dyDescent="0.25">
      <c r="A34" s="167" t="s">
        <v>332</v>
      </c>
      <c r="B34" s="87"/>
      <c r="C34" s="165"/>
      <c r="D34" s="165"/>
      <c r="E34" s="165"/>
      <c r="F34" s="90"/>
      <c r="G34" s="90"/>
      <c r="H34" s="90"/>
      <c r="I34" s="90"/>
      <c r="J34" s="90"/>
      <c r="K34" s="90"/>
    </row>
    <row r="35" spans="1:11" ht="12.75" customHeight="1" x14ac:dyDescent="0.25">
      <c r="A35" s="47" t="s">
        <v>114</v>
      </c>
      <c r="B35" s="74"/>
      <c r="C35" s="42"/>
      <c r="D35" s="42"/>
      <c r="E35" s="42"/>
      <c r="F35" s="42"/>
      <c r="G35" s="42"/>
      <c r="H35" s="42"/>
      <c r="I35" s="42"/>
      <c r="J35" s="42"/>
      <c r="K35" s="42"/>
    </row>
    <row r="36" spans="1:11" x14ac:dyDescent="0.25">
      <c r="A36" s="117"/>
      <c r="B36" s="117"/>
    </row>
  </sheetData>
  <sheetProtection sheet="1" objects="1" scenarios="1"/>
  <mergeCells count="13">
    <mergeCell ref="F3:F4"/>
    <mergeCell ref="G3:G4"/>
    <mergeCell ref="H3:H4"/>
    <mergeCell ref="F2:H2"/>
    <mergeCell ref="I2:K2"/>
    <mergeCell ref="I3:I4"/>
    <mergeCell ref="J3:J4"/>
    <mergeCell ref="K3:K4"/>
    <mergeCell ref="C3:C4"/>
    <mergeCell ref="D3:D4"/>
    <mergeCell ref="A2:A4"/>
    <mergeCell ref="B2:B4"/>
    <mergeCell ref="E3:E4"/>
  </mergeCells>
  <phoneticPr fontId="2" type="noConversion"/>
  <printOptions horizontalCentered="1"/>
  <pageMargins left="0.36" right="0.17" top="0.79" bottom="0.6" header="0.51181102362204722" footer="0.39"/>
  <pageSetup paperSize="9" scale="8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2">
    <tabColor rgb="FFCCFFCC"/>
    <pageSetUpPr fitToPage="1"/>
  </sheetPr>
  <dimension ref="A1:L99"/>
  <sheetViews>
    <sheetView showGridLines="0" workbookViewId="0">
      <pane xSplit="3" ySplit="4" topLeftCell="D23" activePane="bottomRight" state="frozen"/>
      <selection activeCell="G21" sqref="G21"/>
      <selection pane="topRight" activeCell="G21" sqref="G21"/>
      <selection pane="bottomLeft" activeCell="G21" sqref="G21"/>
      <selection pane="bottomRight" activeCell="G38" sqref="G38"/>
    </sheetView>
  </sheetViews>
  <sheetFormatPr defaultRowHeight="12.75" customHeight="1" x14ac:dyDescent="0.25"/>
  <cols>
    <col min="1" max="2" width="25.7109375" style="20" customWidth="1"/>
    <col min="3" max="3" width="3.140625" style="20" customWidth="1"/>
    <col min="4" max="12" width="8.7109375" style="20" customWidth="1"/>
    <col min="13" max="16384" width="9.140625" style="20"/>
  </cols>
  <sheetData>
    <row r="1" spans="1:12" ht="13.5" x14ac:dyDescent="0.25">
      <c r="A1" s="113" t="str">
        <f>_MEB7</f>
        <v>Greater Tzaneen Economic Development Agency (GTEDA) - Supporting Table SD2 Financial and non-financial indicators</v>
      </c>
      <c r="B1" s="43"/>
      <c r="C1" s="43"/>
    </row>
    <row r="2" spans="1:12" ht="25.5" x14ac:dyDescent="0.25">
      <c r="A2" s="621" t="s">
        <v>467</v>
      </c>
      <c r="B2" s="623" t="s">
        <v>318</v>
      </c>
      <c r="C2" s="623" t="str">
        <f>head27</f>
        <v>Ref</v>
      </c>
      <c r="D2" s="109" t="str">
        <f>head1b</f>
        <v>2012/13</v>
      </c>
      <c r="E2" s="21" t="str">
        <f>head1A</f>
        <v>2013/14</v>
      </c>
      <c r="F2" s="103" t="str">
        <f>Head1</f>
        <v>2014/15</v>
      </c>
      <c r="G2" s="629" t="str">
        <f>Head2</f>
        <v>Current Year 2015/16</v>
      </c>
      <c r="H2" s="630"/>
      <c r="I2" s="631"/>
      <c r="J2" s="133" t="str">
        <f>Head3a</f>
        <v>Medium Term Revenue and Expenditure Framework</v>
      </c>
      <c r="K2" s="131"/>
      <c r="L2" s="132"/>
    </row>
    <row r="3" spans="1:12" x14ac:dyDescent="0.25">
      <c r="A3" s="622"/>
      <c r="B3" s="624"/>
      <c r="C3" s="624"/>
      <c r="D3" s="625" t="str">
        <f>Head5</f>
        <v>Audited Outcome</v>
      </c>
      <c r="E3" s="627" t="str">
        <f>Head5</f>
        <v>Audited Outcome</v>
      </c>
      <c r="F3" s="636" t="str">
        <f>Head5</f>
        <v>Audited Outcome</v>
      </c>
      <c r="G3" s="632" t="str">
        <f>Head6</f>
        <v>Original Budget</v>
      </c>
      <c r="H3" s="634" t="str">
        <f>Head7</f>
        <v>Adjusted Budget</v>
      </c>
      <c r="I3" s="636" t="str">
        <f>Head8</f>
        <v>Full Year Forecast</v>
      </c>
      <c r="J3" s="632" t="str">
        <f>Head9</f>
        <v>Budget Year 2016/17</v>
      </c>
      <c r="K3" s="634" t="str">
        <f>Head10</f>
        <v>Budget Year +1 2017/18</v>
      </c>
      <c r="L3" s="636" t="str">
        <f>Head11</f>
        <v>Budget Year +2 2018/19</v>
      </c>
    </row>
    <row r="4" spans="1:12" x14ac:dyDescent="0.25">
      <c r="A4" s="153"/>
      <c r="B4" s="166"/>
      <c r="C4" s="142"/>
      <c r="D4" s="626"/>
      <c r="E4" s="628"/>
      <c r="F4" s="637"/>
      <c r="G4" s="633"/>
      <c r="H4" s="635"/>
      <c r="I4" s="637"/>
      <c r="J4" s="633"/>
      <c r="K4" s="635"/>
      <c r="L4" s="637"/>
    </row>
    <row r="5" spans="1:12" ht="12.75" customHeight="1" x14ac:dyDescent="0.25">
      <c r="A5" s="80" t="s">
        <v>91</v>
      </c>
      <c r="B5" s="118"/>
      <c r="C5" s="76"/>
      <c r="D5" s="310"/>
      <c r="E5" s="72"/>
      <c r="F5" s="169"/>
      <c r="G5" s="168"/>
      <c r="H5" s="72"/>
      <c r="I5" s="169"/>
      <c r="J5" s="77"/>
      <c r="K5" s="72"/>
      <c r="L5" s="169"/>
    </row>
    <row r="6" spans="1:12" ht="12.75" customHeight="1" x14ac:dyDescent="0.25">
      <c r="A6" s="79" t="s">
        <v>351</v>
      </c>
      <c r="B6" s="118" t="s">
        <v>337</v>
      </c>
      <c r="C6" s="76"/>
      <c r="D6" s="77">
        <f>IF(ISERROR(D39/D40),0,(D39/D40))</f>
        <v>0</v>
      </c>
      <c r="E6" s="78">
        <f t="shared" ref="E6:L6" si="0">IF(ISERROR(E39/E40),0,(E39/E40))</f>
        <v>0</v>
      </c>
      <c r="F6" s="147">
        <f t="shared" si="0"/>
        <v>0</v>
      </c>
      <c r="G6" s="77">
        <f t="shared" si="0"/>
        <v>0</v>
      </c>
      <c r="H6" s="78">
        <f t="shared" si="0"/>
        <v>0</v>
      </c>
      <c r="I6" s="147">
        <f t="shared" si="0"/>
        <v>0</v>
      </c>
      <c r="J6" s="77">
        <f t="shared" si="0"/>
        <v>0</v>
      </c>
      <c r="K6" s="78">
        <f t="shared" si="0"/>
        <v>0</v>
      </c>
      <c r="L6" s="147">
        <f t="shared" si="0"/>
        <v>0</v>
      </c>
    </row>
    <row r="7" spans="1:12" ht="25.5" x14ac:dyDescent="0.25">
      <c r="A7" s="79" t="s">
        <v>352</v>
      </c>
      <c r="B7" s="118" t="s">
        <v>507</v>
      </c>
      <c r="C7" s="76"/>
      <c r="D7" s="170">
        <f>IF(ISERROR((D41+D42)/D43),0,((D41+D42)/D43))</f>
        <v>0</v>
      </c>
      <c r="E7" s="91">
        <f t="shared" ref="E7:L7" si="1">IF(ISERROR((E41+E42)/E43),0,((E41+E42)/E43))</f>
        <v>0</v>
      </c>
      <c r="F7" s="171">
        <f t="shared" si="1"/>
        <v>0</v>
      </c>
      <c r="G7" s="170">
        <f t="shared" si="1"/>
        <v>0</v>
      </c>
      <c r="H7" s="91">
        <f t="shared" si="1"/>
        <v>0</v>
      </c>
      <c r="I7" s="171">
        <f t="shared" si="1"/>
        <v>0</v>
      </c>
      <c r="J7" s="188">
        <f t="shared" si="1"/>
        <v>0</v>
      </c>
      <c r="K7" s="189">
        <f t="shared" si="1"/>
        <v>0</v>
      </c>
      <c r="L7" s="190">
        <f t="shared" si="1"/>
        <v>0</v>
      </c>
    </row>
    <row r="8" spans="1:12" ht="25.5" x14ac:dyDescent="0.25">
      <c r="A8" s="79" t="s">
        <v>222</v>
      </c>
      <c r="B8" s="118" t="s">
        <v>962</v>
      </c>
      <c r="C8" s="76"/>
      <c r="D8" s="77">
        <f>IF(ISERROR(D44/(D45-D46-D47)),0,(D44/(D45-D46-D47)))</f>
        <v>0</v>
      </c>
      <c r="E8" s="78">
        <f t="shared" ref="E8:L8" si="2">IF(ISERROR(E44/(E45-E46-E47)),0,(E44/(E45-E46-E47)))</f>
        <v>0</v>
      </c>
      <c r="F8" s="147">
        <f t="shared" si="2"/>
        <v>0</v>
      </c>
      <c r="G8" s="77">
        <f t="shared" si="2"/>
        <v>0</v>
      </c>
      <c r="H8" s="78">
        <f t="shared" si="2"/>
        <v>0</v>
      </c>
      <c r="I8" s="147">
        <f t="shared" si="2"/>
        <v>0</v>
      </c>
      <c r="J8" s="77">
        <f t="shared" si="2"/>
        <v>0</v>
      </c>
      <c r="K8" s="78">
        <f t="shared" si="2"/>
        <v>0</v>
      </c>
      <c r="L8" s="147">
        <f t="shared" si="2"/>
        <v>0</v>
      </c>
    </row>
    <row r="9" spans="1:12" ht="12.75" customHeight="1" x14ac:dyDescent="0.25">
      <c r="A9" s="80" t="s">
        <v>284</v>
      </c>
      <c r="B9" s="118"/>
      <c r="C9" s="76"/>
      <c r="D9" s="168"/>
      <c r="E9" s="72"/>
      <c r="F9" s="169"/>
      <c r="G9" s="168"/>
      <c r="H9" s="72"/>
      <c r="I9" s="169"/>
      <c r="J9" s="81"/>
      <c r="K9" s="82"/>
      <c r="L9" s="191"/>
    </row>
    <row r="10" spans="1:12" ht="25.5" x14ac:dyDescent="0.25">
      <c r="A10" s="79" t="s">
        <v>497</v>
      </c>
      <c r="B10" s="118" t="s">
        <v>341</v>
      </c>
      <c r="C10" s="76"/>
      <c r="D10" s="77">
        <f>IF(ISERROR(D48/D49),0,(D48/D49))</f>
        <v>4.1239669365350742E-2</v>
      </c>
      <c r="E10" s="78">
        <f t="shared" ref="E10:L10" si="3">IF(ISERROR(E48/E49),0,(E48/E49))</f>
        <v>4.8108652467645792E-2</v>
      </c>
      <c r="F10" s="147">
        <f t="shared" si="3"/>
        <v>4.6592121884765893E-2</v>
      </c>
      <c r="G10" s="77">
        <f t="shared" si="3"/>
        <v>0</v>
      </c>
      <c r="H10" s="78">
        <f t="shared" si="3"/>
        <v>0</v>
      </c>
      <c r="I10" s="147">
        <f t="shared" si="3"/>
        <v>0.51122898629013303</v>
      </c>
      <c r="J10" s="77">
        <f t="shared" si="3"/>
        <v>0</v>
      </c>
      <c r="K10" s="78">
        <f t="shared" si="3"/>
        <v>0</v>
      </c>
      <c r="L10" s="147">
        <f t="shared" si="3"/>
        <v>0</v>
      </c>
    </row>
    <row r="11" spans="1:12" ht="25.5" x14ac:dyDescent="0.25">
      <c r="A11" s="79" t="s">
        <v>283</v>
      </c>
      <c r="B11" s="118" t="s">
        <v>340</v>
      </c>
      <c r="C11" s="76"/>
      <c r="D11" s="170">
        <f>IF(ISERROR(D50/D49),0,(D50/D49))</f>
        <v>0</v>
      </c>
      <c r="E11" s="91">
        <f t="shared" ref="E11:L11" si="4">IF(ISERROR(E50/E49),0,(E50/E49))</f>
        <v>0</v>
      </c>
      <c r="F11" s="171">
        <f t="shared" si="4"/>
        <v>0</v>
      </c>
      <c r="G11" s="170">
        <f t="shared" si="4"/>
        <v>0</v>
      </c>
      <c r="H11" s="91">
        <f t="shared" si="4"/>
        <v>0</v>
      </c>
      <c r="I11" s="171">
        <f t="shared" si="4"/>
        <v>0</v>
      </c>
      <c r="J11" s="170">
        <f t="shared" si="4"/>
        <v>0</v>
      </c>
      <c r="K11" s="91">
        <f t="shared" si="4"/>
        <v>0</v>
      </c>
      <c r="L11" s="171">
        <f t="shared" si="4"/>
        <v>0</v>
      </c>
    </row>
    <row r="12" spans="1:12" ht="12.75" customHeight="1" x14ac:dyDescent="0.25">
      <c r="A12" s="80" t="s">
        <v>285</v>
      </c>
      <c r="B12" s="118"/>
      <c r="C12" s="76"/>
      <c r="D12" s="168"/>
      <c r="E12" s="72"/>
      <c r="F12" s="169"/>
      <c r="G12" s="168"/>
      <c r="H12" s="72"/>
      <c r="I12" s="169"/>
      <c r="J12" s="168"/>
      <c r="K12" s="72"/>
      <c r="L12" s="169"/>
    </row>
    <row r="13" spans="1:12" ht="12.75" customHeight="1" x14ac:dyDescent="0.25">
      <c r="A13" s="79" t="s">
        <v>353</v>
      </c>
      <c r="B13" s="118" t="s">
        <v>343</v>
      </c>
      <c r="C13" s="75"/>
      <c r="D13" s="172">
        <f>IF(ISERROR(D51/D52),0,(D51/D52))</f>
        <v>6.1628734048988099</v>
      </c>
      <c r="E13" s="92">
        <f t="shared" ref="E13:L13" si="5">IF(ISERROR(E51/E52),0,(E51/E52))</f>
        <v>21.065101519888898</v>
      </c>
      <c r="F13" s="173">
        <f t="shared" si="5"/>
        <v>20.780217268055377</v>
      </c>
      <c r="G13" s="172">
        <f t="shared" si="5"/>
        <v>0</v>
      </c>
      <c r="H13" s="92">
        <f t="shared" si="5"/>
        <v>0</v>
      </c>
      <c r="I13" s="173">
        <f t="shared" si="5"/>
        <v>2.4419501122694074</v>
      </c>
      <c r="J13" s="172">
        <f t="shared" si="5"/>
        <v>0</v>
      </c>
      <c r="K13" s="92">
        <f t="shared" si="5"/>
        <v>0</v>
      </c>
      <c r="L13" s="173">
        <f t="shared" si="5"/>
        <v>0</v>
      </c>
    </row>
    <row r="14" spans="1:12" ht="25.5" x14ac:dyDescent="0.25">
      <c r="A14" s="79" t="s">
        <v>194</v>
      </c>
      <c r="B14" s="118" t="s">
        <v>193</v>
      </c>
      <c r="C14" s="76"/>
      <c r="D14" s="172">
        <f>IF(ISERROR((D51-D53)/D52),0,((D51-D53)/D52))</f>
        <v>6.1628734048988099</v>
      </c>
      <c r="E14" s="92">
        <f t="shared" ref="E14:L14" si="6">IF(ISERROR((E51-E53)/E52),0,((E51-E53)/E52))</f>
        <v>21.065101519888898</v>
      </c>
      <c r="F14" s="173">
        <f t="shared" si="6"/>
        <v>20.780217268055377</v>
      </c>
      <c r="G14" s="172">
        <f t="shared" si="6"/>
        <v>0</v>
      </c>
      <c r="H14" s="92">
        <f t="shared" si="6"/>
        <v>0</v>
      </c>
      <c r="I14" s="173">
        <f t="shared" si="6"/>
        <v>2.4419501122694074</v>
      </c>
      <c r="J14" s="172">
        <f t="shared" si="6"/>
        <v>0</v>
      </c>
      <c r="K14" s="92">
        <f t="shared" si="6"/>
        <v>0</v>
      </c>
      <c r="L14" s="173">
        <f t="shared" si="6"/>
        <v>0</v>
      </c>
    </row>
    <row r="15" spans="1:12" ht="12.75" customHeight="1" x14ac:dyDescent="0.25">
      <c r="A15" s="79" t="s">
        <v>286</v>
      </c>
      <c r="B15" s="118" t="s">
        <v>342</v>
      </c>
      <c r="C15" s="76"/>
      <c r="D15" s="172">
        <f>IF(ISERROR(D54/D52),0,(D54/D52))</f>
        <v>5.2775348535531315</v>
      </c>
      <c r="E15" s="92">
        <f t="shared" ref="E15:L15" si="7">IF(ISERROR(E54/E52),0,(E54/E52))</f>
        <v>18.142701972984923</v>
      </c>
      <c r="F15" s="173">
        <f t="shared" si="7"/>
        <v>18.503849741216921</v>
      </c>
      <c r="G15" s="172">
        <f t="shared" si="7"/>
        <v>0</v>
      </c>
      <c r="H15" s="92">
        <f t="shared" si="7"/>
        <v>0</v>
      </c>
      <c r="I15" s="173">
        <f t="shared" si="7"/>
        <v>2.2816029821102735</v>
      </c>
      <c r="J15" s="192">
        <f t="shared" si="7"/>
        <v>0</v>
      </c>
      <c r="K15" s="193">
        <f t="shared" si="7"/>
        <v>0</v>
      </c>
      <c r="L15" s="194">
        <f t="shared" si="7"/>
        <v>0</v>
      </c>
    </row>
    <row r="16" spans="1:12" ht="12.75" customHeight="1" x14ac:dyDescent="0.25">
      <c r="A16" s="80" t="s">
        <v>17</v>
      </c>
      <c r="B16" s="118"/>
      <c r="C16" s="76"/>
      <c r="D16" s="168"/>
      <c r="E16" s="72"/>
      <c r="F16" s="169"/>
      <c r="G16" s="168"/>
      <c r="H16" s="72"/>
      <c r="I16" s="169"/>
      <c r="J16" s="168"/>
      <c r="K16" s="72"/>
      <c r="L16" s="169"/>
    </row>
    <row r="17" spans="1:12" ht="25.5" x14ac:dyDescent="0.25">
      <c r="A17" s="79" t="s">
        <v>43</v>
      </c>
      <c r="B17" s="118" t="s">
        <v>344</v>
      </c>
      <c r="C17" s="76"/>
      <c r="D17" s="605"/>
      <c r="E17" s="175">
        <f>IF(ISERROR(E55/E56),0,(E55/E56))</f>
        <v>1.0000021572859961</v>
      </c>
      <c r="F17" s="176">
        <f t="shared" ref="F17:L17" si="8">IF(ISERROR(F55/F56),0,(F55/F56))</f>
        <v>1.0337306059912523</v>
      </c>
      <c r="G17" s="174">
        <f t="shared" si="8"/>
        <v>1.2516831886635045</v>
      </c>
      <c r="H17" s="175">
        <f t="shared" si="8"/>
        <v>1.036</v>
      </c>
      <c r="I17" s="176">
        <f t="shared" si="8"/>
        <v>0</v>
      </c>
      <c r="J17" s="85">
        <f t="shared" si="8"/>
        <v>0.89826109590513992</v>
      </c>
      <c r="K17" s="86">
        <f t="shared" si="8"/>
        <v>1</v>
      </c>
      <c r="L17" s="195">
        <f t="shared" si="8"/>
        <v>1</v>
      </c>
    </row>
    <row r="18" spans="1:12" ht="25.5" x14ac:dyDescent="0.25">
      <c r="A18" s="79" t="s">
        <v>44</v>
      </c>
      <c r="B18" s="118" t="s">
        <v>192</v>
      </c>
      <c r="C18" s="76"/>
      <c r="D18" s="170">
        <f>IF(ISERROR(D57/D58),0,(D57/D58))</f>
        <v>5.2100939445339119E-2</v>
      </c>
      <c r="E18" s="91">
        <f t="shared" ref="E18:L18" si="9">IF(ISERROR(E57/E58),0,(E57/E58))</f>
        <v>6.8577357457060242E-2</v>
      </c>
      <c r="F18" s="171">
        <f t="shared" si="9"/>
        <v>5.1232806026604169E-2</v>
      </c>
      <c r="G18" s="170">
        <f t="shared" si="9"/>
        <v>0</v>
      </c>
      <c r="H18" s="91">
        <f t="shared" si="9"/>
        <v>0</v>
      </c>
      <c r="I18" s="171">
        <f t="shared" si="9"/>
        <v>1.0335330683757894E-2</v>
      </c>
      <c r="J18" s="170">
        <f t="shared" si="9"/>
        <v>0</v>
      </c>
      <c r="K18" s="91">
        <f t="shared" si="9"/>
        <v>0</v>
      </c>
      <c r="L18" s="171">
        <f t="shared" si="9"/>
        <v>0</v>
      </c>
    </row>
    <row r="19" spans="1:12" ht="25.5" x14ac:dyDescent="0.25">
      <c r="A19" s="79" t="s">
        <v>498</v>
      </c>
      <c r="B19" s="118" t="s">
        <v>345</v>
      </c>
      <c r="C19" s="76"/>
      <c r="D19" s="311"/>
      <c r="E19" s="312"/>
      <c r="F19" s="313"/>
      <c r="G19" s="311"/>
      <c r="H19" s="312"/>
      <c r="I19" s="313"/>
      <c r="J19" s="311"/>
      <c r="K19" s="312"/>
      <c r="L19" s="313"/>
    </row>
    <row r="20" spans="1:12" ht="12.75" customHeight="1" x14ac:dyDescent="0.25">
      <c r="A20" s="80" t="s">
        <v>499</v>
      </c>
      <c r="B20" s="118"/>
      <c r="C20" s="76"/>
      <c r="D20" s="168"/>
      <c r="E20" s="72"/>
      <c r="F20" s="169"/>
      <c r="G20" s="168"/>
      <c r="H20" s="72"/>
      <c r="I20" s="169"/>
      <c r="J20" s="168"/>
      <c r="K20" s="72"/>
      <c r="L20" s="169"/>
    </row>
    <row r="21" spans="1:12" ht="25.5" x14ac:dyDescent="0.25">
      <c r="A21" s="79" t="s">
        <v>500</v>
      </c>
      <c r="B21" s="118" t="s">
        <v>338</v>
      </c>
      <c r="C21" s="76"/>
      <c r="D21" s="311"/>
      <c r="E21" s="312"/>
      <c r="F21" s="313"/>
      <c r="G21" s="311"/>
      <c r="H21" s="312"/>
      <c r="I21" s="313"/>
      <c r="J21" s="311"/>
      <c r="K21" s="312"/>
      <c r="L21" s="313"/>
    </row>
    <row r="22" spans="1:12" ht="12.75" customHeight="1" x14ac:dyDescent="0.25">
      <c r="A22" s="80" t="s">
        <v>87</v>
      </c>
      <c r="B22" s="118"/>
      <c r="C22" s="76"/>
      <c r="D22" s="168"/>
      <c r="E22" s="72"/>
      <c r="F22" s="169"/>
      <c r="G22" s="168"/>
      <c r="H22" s="72"/>
      <c r="I22" s="169"/>
      <c r="J22" s="168"/>
      <c r="K22" s="72"/>
      <c r="L22" s="169"/>
    </row>
    <row r="23" spans="1:12" x14ac:dyDescent="0.25">
      <c r="A23" s="79" t="s">
        <v>88</v>
      </c>
      <c r="B23" s="118" t="s">
        <v>89</v>
      </c>
      <c r="C23" s="76"/>
      <c r="D23" s="168"/>
      <c r="E23" s="72"/>
      <c r="F23" s="169"/>
      <c r="G23" s="168"/>
      <c r="H23" s="72"/>
      <c r="I23" s="169"/>
      <c r="J23" s="168"/>
      <c r="K23" s="72"/>
      <c r="L23" s="169"/>
    </row>
    <row r="24" spans="1:12" ht="12.75" customHeight="1" x14ac:dyDescent="0.25">
      <c r="A24" s="80" t="s">
        <v>90</v>
      </c>
      <c r="B24" s="118"/>
      <c r="C24" s="76"/>
      <c r="D24" s="168"/>
      <c r="E24" s="72"/>
      <c r="F24" s="169"/>
      <c r="G24" s="168"/>
      <c r="H24" s="72"/>
      <c r="I24" s="169"/>
      <c r="J24" s="168"/>
      <c r="K24" s="72"/>
      <c r="L24" s="169"/>
    </row>
    <row r="25" spans="1:12" ht="38.25" x14ac:dyDescent="0.25">
      <c r="A25" s="79" t="s">
        <v>82</v>
      </c>
      <c r="B25" s="118" t="s">
        <v>963</v>
      </c>
      <c r="C25" s="75">
        <v>1</v>
      </c>
      <c r="D25" s="311"/>
      <c r="E25" s="312"/>
      <c r="F25" s="313"/>
      <c r="G25" s="311"/>
      <c r="H25" s="312"/>
      <c r="I25" s="313"/>
      <c r="J25" s="311"/>
      <c r="K25" s="312"/>
      <c r="L25" s="313"/>
    </row>
    <row r="26" spans="1:12" ht="38.25" x14ac:dyDescent="0.25">
      <c r="A26" s="79" t="s">
        <v>81</v>
      </c>
      <c r="B26" s="118" t="s">
        <v>964</v>
      </c>
      <c r="C26" s="75">
        <v>2</v>
      </c>
      <c r="D26" s="311"/>
      <c r="E26" s="312"/>
      <c r="F26" s="313"/>
      <c r="G26" s="311"/>
      <c r="H26" s="312"/>
      <c r="I26" s="313"/>
      <c r="J26" s="311"/>
      <c r="K26" s="312"/>
      <c r="L26" s="313"/>
    </row>
    <row r="27" spans="1:12" ht="25.5" x14ac:dyDescent="0.25">
      <c r="A27" s="79" t="s">
        <v>47</v>
      </c>
      <c r="B27" s="118" t="s">
        <v>307</v>
      </c>
      <c r="C27" s="76"/>
      <c r="D27" s="83">
        <f>IF(ISERROR(D59/D58),0,(D59/D58))</f>
        <v>0.32618052532599673</v>
      </c>
      <c r="E27" s="84">
        <f t="shared" ref="E27:L27" si="10">IF(ISERROR(E59/E58),0,(E59/E58))</f>
        <v>0.56537690963774556</v>
      </c>
      <c r="F27" s="177">
        <f t="shared" si="10"/>
        <v>1.8187358321628759</v>
      </c>
      <c r="G27" s="85">
        <f t="shared" si="10"/>
        <v>0.6472671763636364</v>
      </c>
      <c r="H27" s="183">
        <f t="shared" si="10"/>
        <v>-0.38129651929106906</v>
      </c>
      <c r="I27" s="184">
        <f t="shared" si="10"/>
        <v>0.51058221921413594</v>
      </c>
      <c r="J27" s="85">
        <f t="shared" si="10"/>
        <v>0.51454008871366375</v>
      </c>
      <c r="K27" s="86">
        <f t="shared" si="10"/>
        <v>0.53465213836725078</v>
      </c>
      <c r="L27" s="195">
        <f t="shared" si="10"/>
        <v>0.54093890036408276</v>
      </c>
    </row>
    <row r="28" spans="1:12" ht="12.75" customHeight="1" x14ac:dyDescent="0.25">
      <c r="A28" s="79" t="s">
        <v>305</v>
      </c>
      <c r="B28" s="118" t="s">
        <v>308</v>
      </c>
      <c r="C28" s="76"/>
      <c r="D28" s="83">
        <f>IF(ISERROR(D60/D58),0,(D60/D58))</f>
        <v>0</v>
      </c>
      <c r="E28" s="84">
        <f t="shared" ref="E28:L28" si="11">IF(ISERROR(E60/E58),0,(E60/E58))</f>
        <v>0</v>
      </c>
      <c r="F28" s="177">
        <f t="shared" si="11"/>
        <v>0</v>
      </c>
      <c r="G28" s="85">
        <f t="shared" si="11"/>
        <v>0</v>
      </c>
      <c r="H28" s="183">
        <f t="shared" si="11"/>
        <v>0</v>
      </c>
      <c r="I28" s="184">
        <f t="shared" si="11"/>
        <v>0</v>
      </c>
      <c r="J28" s="85">
        <f t="shared" si="11"/>
        <v>0</v>
      </c>
      <c r="K28" s="86">
        <f t="shared" si="11"/>
        <v>0</v>
      </c>
      <c r="L28" s="195">
        <f t="shared" si="11"/>
        <v>0</v>
      </c>
    </row>
    <row r="29" spans="1:12" ht="12.75" customHeight="1" x14ac:dyDescent="0.25">
      <c r="A29" s="79" t="s">
        <v>306</v>
      </c>
      <c r="B29" s="118" t="s">
        <v>287</v>
      </c>
      <c r="C29" s="76"/>
      <c r="D29" s="83">
        <f>IF(ISERROR((D41+D42)/D58),0,((D41+D42)/D58))</f>
        <v>0</v>
      </c>
      <c r="E29" s="84">
        <f t="shared" ref="E29:L29" si="12">IF(ISERROR((E41+E42)/E58),0,((E41+E42)/E58))</f>
        <v>0</v>
      </c>
      <c r="F29" s="177">
        <f t="shared" si="12"/>
        <v>0</v>
      </c>
      <c r="G29" s="85">
        <f t="shared" si="12"/>
        <v>0</v>
      </c>
      <c r="H29" s="183">
        <f t="shared" si="12"/>
        <v>0</v>
      </c>
      <c r="I29" s="184">
        <f t="shared" si="12"/>
        <v>0</v>
      </c>
      <c r="J29" s="85">
        <f t="shared" si="12"/>
        <v>0</v>
      </c>
      <c r="K29" s="86">
        <f t="shared" si="12"/>
        <v>0</v>
      </c>
      <c r="L29" s="195">
        <f t="shared" si="12"/>
        <v>0</v>
      </c>
    </row>
    <row r="30" spans="1:12" ht="12.75" customHeight="1" x14ac:dyDescent="0.25">
      <c r="A30" s="80" t="s">
        <v>355</v>
      </c>
      <c r="B30" s="119"/>
      <c r="C30" s="80"/>
      <c r="D30" s="178"/>
      <c r="E30" s="93"/>
      <c r="F30" s="177"/>
      <c r="G30" s="85"/>
      <c r="H30" s="183"/>
      <c r="I30" s="184"/>
      <c r="J30" s="85"/>
      <c r="K30" s="86"/>
      <c r="L30" s="195"/>
    </row>
    <row r="31" spans="1:12" ht="38.25" x14ac:dyDescent="0.25">
      <c r="A31" s="79" t="s">
        <v>209</v>
      </c>
      <c r="B31" s="118" t="s">
        <v>331</v>
      </c>
      <c r="C31" s="76"/>
      <c r="D31" s="179">
        <f>IF(ISERROR(D61/D62),0,(D61/D62))</f>
        <v>0</v>
      </c>
      <c r="E31" s="180">
        <f t="shared" ref="E31:L31" si="13">IF(ISERROR(E61/E62),0,(E61/E62))</f>
        <v>602.72619773949305</v>
      </c>
      <c r="F31" s="181">
        <f t="shared" si="13"/>
        <v>77.126610952380958</v>
      </c>
      <c r="G31" s="179">
        <f t="shared" si="13"/>
        <v>0</v>
      </c>
      <c r="H31" s="89">
        <f t="shared" si="13"/>
        <v>13.349323746476196</v>
      </c>
      <c r="I31" s="185">
        <f t="shared" si="13"/>
        <v>0</v>
      </c>
      <c r="J31" s="88">
        <f t="shared" si="13"/>
        <v>0</v>
      </c>
      <c r="K31" s="89">
        <f t="shared" si="13"/>
        <v>0</v>
      </c>
      <c r="L31" s="185">
        <f t="shared" si="13"/>
        <v>0</v>
      </c>
    </row>
    <row r="32" spans="1:12" ht="25.5" x14ac:dyDescent="0.25">
      <c r="A32" s="79" t="s">
        <v>339</v>
      </c>
      <c r="B32" s="118" t="s">
        <v>67</v>
      </c>
      <c r="C32" s="76"/>
      <c r="D32" s="174">
        <f>IF(ISERROR(D63/D64),0,(D63/D64))</f>
        <v>0</v>
      </c>
      <c r="E32" s="93">
        <f t="shared" ref="E32:L32" si="14">IF(ISERROR(E63/E64),0,(E63/E64))</f>
        <v>0</v>
      </c>
      <c r="F32" s="177">
        <f t="shared" si="14"/>
        <v>0</v>
      </c>
      <c r="G32" s="85">
        <f t="shared" si="14"/>
        <v>0</v>
      </c>
      <c r="H32" s="183">
        <f t="shared" si="14"/>
        <v>0</v>
      </c>
      <c r="I32" s="184">
        <f t="shared" si="14"/>
        <v>0</v>
      </c>
      <c r="J32" s="85">
        <f t="shared" si="14"/>
        <v>0</v>
      </c>
      <c r="K32" s="86">
        <f t="shared" si="14"/>
        <v>0</v>
      </c>
      <c r="L32" s="195">
        <f t="shared" si="14"/>
        <v>0</v>
      </c>
    </row>
    <row r="33" spans="1:12" ht="25.5" x14ac:dyDescent="0.25">
      <c r="A33" s="148" t="s">
        <v>210</v>
      </c>
      <c r="B33" s="122" t="s">
        <v>28</v>
      </c>
      <c r="C33" s="94"/>
      <c r="D33" s="234">
        <f>IF(ISERROR(D65/D66),0,(D65/D66))</f>
        <v>0.54662129551588889</v>
      </c>
      <c r="E33" s="95">
        <f t="shared" ref="E33:L33" si="15">IF(ISERROR(E65/E66),0,(E65/E66))</f>
        <v>0.68165524594444693</v>
      </c>
      <c r="F33" s="182">
        <f t="shared" si="15"/>
        <v>0.29961888829333322</v>
      </c>
      <c r="G33" s="186">
        <f t="shared" si="15"/>
        <v>0</v>
      </c>
      <c r="H33" s="96">
        <f t="shared" si="15"/>
        <v>0</v>
      </c>
      <c r="I33" s="187">
        <f t="shared" si="15"/>
        <v>0.24518221878913249</v>
      </c>
      <c r="J33" s="186">
        <f t="shared" si="15"/>
        <v>0</v>
      </c>
      <c r="K33" s="96">
        <f t="shared" si="15"/>
        <v>0</v>
      </c>
      <c r="L33" s="187">
        <f t="shared" si="15"/>
        <v>0</v>
      </c>
    </row>
    <row r="34" spans="1:12" ht="12.75" customHeight="1" x14ac:dyDescent="0.25">
      <c r="A34" s="35" t="s">
        <v>204</v>
      </c>
      <c r="B34" s="42"/>
      <c r="C34" s="42"/>
      <c r="D34" s="42"/>
      <c r="E34" s="42"/>
      <c r="F34" s="42"/>
      <c r="G34" s="42"/>
      <c r="H34" s="42"/>
      <c r="I34" s="42"/>
      <c r="J34" s="42"/>
      <c r="K34" s="42"/>
      <c r="L34" s="42"/>
    </row>
    <row r="35" spans="1:12" ht="12.75" customHeight="1" x14ac:dyDescent="0.25">
      <c r="A35" s="47" t="s">
        <v>354</v>
      </c>
      <c r="B35" s="42"/>
      <c r="C35" s="42"/>
      <c r="D35" s="42"/>
      <c r="E35" s="42"/>
      <c r="F35" s="42"/>
      <c r="G35" s="42"/>
      <c r="H35" s="42"/>
      <c r="I35" s="42"/>
      <c r="J35" s="42"/>
      <c r="K35" s="42"/>
      <c r="L35" s="42"/>
    </row>
    <row r="36" spans="1:12" ht="12.75" customHeight="1" x14ac:dyDescent="0.25">
      <c r="A36" s="47" t="s">
        <v>356</v>
      </c>
      <c r="B36" s="42"/>
      <c r="C36" s="42"/>
      <c r="D36" s="42"/>
      <c r="E36" s="42"/>
      <c r="F36" s="42"/>
      <c r="G36" s="42"/>
      <c r="H36" s="42"/>
      <c r="I36" s="42"/>
      <c r="J36" s="42"/>
      <c r="K36" s="42"/>
      <c r="L36" s="42"/>
    </row>
    <row r="37" spans="1:12" ht="12.75" customHeight="1" x14ac:dyDescent="0.25">
      <c r="A37" s="42"/>
      <c r="B37" s="42"/>
      <c r="C37" s="42"/>
      <c r="D37" s="42"/>
      <c r="E37" s="42"/>
      <c r="F37" s="42"/>
      <c r="G37" s="42"/>
      <c r="H37" s="42"/>
      <c r="I37" s="42"/>
      <c r="J37" s="42"/>
      <c r="K37" s="42"/>
      <c r="L37" s="42"/>
    </row>
    <row r="38" spans="1:12" ht="12.75" customHeight="1" x14ac:dyDescent="0.25">
      <c r="A38" s="74" t="s">
        <v>506</v>
      </c>
      <c r="B38" s="42"/>
      <c r="C38" s="42"/>
      <c r="D38" s="52"/>
      <c r="E38" s="52"/>
      <c r="F38" s="52"/>
      <c r="G38" s="52"/>
      <c r="H38" s="52"/>
      <c r="I38" s="52"/>
      <c r="J38" s="52"/>
      <c r="K38" s="52"/>
      <c r="L38" s="52"/>
    </row>
    <row r="39" spans="1:12" ht="12.75" customHeight="1" x14ac:dyDescent="0.25">
      <c r="A39" s="42" t="str">
        <f>'D4-FinPos'!A35</f>
        <v>Borrowing</v>
      </c>
      <c r="B39" s="42"/>
      <c r="C39" s="42"/>
      <c r="D39" s="52">
        <f>'D4-FinPos'!C35</f>
        <v>0</v>
      </c>
      <c r="E39" s="52">
        <f>'D4-FinPos'!D35</f>
        <v>0</v>
      </c>
      <c r="F39" s="52">
        <f>'D4-FinPos'!E35</f>
        <v>0</v>
      </c>
      <c r="G39" s="52">
        <f>'D4-FinPos'!F35</f>
        <v>0</v>
      </c>
      <c r="H39" s="52">
        <f>'D4-FinPos'!G35</f>
        <v>0</v>
      </c>
      <c r="I39" s="52">
        <f>'D4-FinPos'!H35</f>
        <v>0</v>
      </c>
      <c r="J39" s="52">
        <f>'D4-FinPos'!I35</f>
        <v>0</v>
      </c>
      <c r="K39" s="52">
        <f>'D4-FinPos'!J35</f>
        <v>0</v>
      </c>
      <c r="L39" s="52">
        <f>'D4-FinPos'!K35</f>
        <v>0</v>
      </c>
    </row>
    <row r="40" spans="1:12" ht="12.75" customHeight="1" x14ac:dyDescent="0.25">
      <c r="A40" s="42" t="str">
        <f>'D4-FinPos'!A23</f>
        <v>TOTAL ASSETS</v>
      </c>
      <c r="B40" s="42"/>
      <c r="C40" s="42"/>
      <c r="D40" s="52">
        <f>'D4-FinPos'!C23</f>
        <v>1746633</v>
      </c>
      <c r="E40" s="52">
        <f>'D4-FinPos'!D23</f>
        <v>2805977</v>
      </c>
      <c r="F40" s="52">
        <f>'D4-FinPos'!E23</f>
        <v>2456493</v>
      </c>
      <c r="G40" s="52">
        <f>'D4-FinPos'!F23</f>
        <v>0</v>
      </c>
      <c r="H40" s="52">
        <f>'D4-FinPos'!G23</f>
        <v>0</v>
      </c>
      <c r="I40" s="52">
        <f>'D4-FinPos'!H23</f>
        <v>1208554</v>
      </c>
      <c r="J40" s="52">
        <f>'D4-FinPos'!I23</f>
        <v>235192</v>
      </c>
      <c r="K40" s="52">
        <f>'D4-FinPos'!J23</f>
        <v>262692</v>
      </c>
      <c r="L40" s="52">
        <f>'D4-FinPos'!K23</f>
        <v>288142.75</v>
      </c>
    </row>
    <row r="41" spans="1:12" ht="12.75" customHeight="1" x14ac:dyDescent="0.25">
      <c r="A41" s="42" t="str">
        <f>'D2-FinPerf'!A30</f>
        <v>Finance charges</v>
      </c>
      <c r="B41" s="42"/>
      <c r="C41" s="42"/>
      <c r="D41" s="52">
        <f>'D2-FinPerf'!C30</f>
        <v>0</v>
      </c>
      <c r="E41" s="52">
        <f>'D2-FinPerf'!D30</f>
        <v>0</v>
      </c>
      <c r="F41" s="52">
        <f>'D2-FinPerf'!E30</f>
        <v>0</v>
      </c>
      <c r="G41" s="52">
        <f>'D2-FinPerf'!F30</f>
        <v>0</v>
      </c>
      <c r="H41" s="52">
        <f>'D2-FinPerf'!G30</f>
        <v>0</v>
      </c>
      <c r="I41" s="52">
        <f>'D2-FinPerf'!H30</f>
        <v>0</v>
      </c>
      <c r="J41" s="52">
        <f>'D2-FinPerf'!I30</f>
        <v>0</v>
      </c>
      <c r="K41" s="52">
        <f>'D2-FinPerf'!J30</f>
        <v>0</v>
      </c>
      <c r="L41" s="52">
        <f>'D2-FinPerf'!K30</f>
        <v>0</v>
      </c>
    </row>
    <row r="42" spans="1:12" ht="12.75" customHeight="1" x14ac:dyDescent="0.25">
      <c r="A42" s="42" t="str">
        <f>'D2-FinPerf'!A29</f>
        <v>Depreciation &amp; asset impairment</v>
      </c>
      <c r="B42" s="42"/>
      <c r="C42" s="42"/>
      <c r="D42" s="52">
        <f>'D2-FinPerf'!C27</f>
        <v>0</v>
      </c>
      <c r="E42" s="52">
        <f>'D2-FinPerf'!D27</f>
        <v>0</v>
      </c>
      <c r="F42" s="52">
        <f>'D2-FinPerf'!E27</f>
        <v>0</v>
      </c>
      <c r="G42" s="52">
        <f>'D2-FinPerf'!F27</f>
        <v>0</v>
      </c>
      <c r="H42" s="52">
        <f>'D2-FinPerf'!G27</f>
        <v>0</v>
      </c>
      <c r="I42" s="52">
        <f>'D2-FinPerf'!H27</f>
        <v>0</v>
      </c>
      <c r="J42" s="52">
        <f>'D2-FinPerf'!I27</f>
        <v>0</v>
      </c>
      <c r="K42" s="52">
        <f>'D2-FinPerf'!J27</f>
        <v>0</v>
      </c>
      <c r="L42" s="52">
        <f>'D2-FinPerf'!K27</f>
        <v>0</v>
      </c>
    </row>
    <row r="43" spans="1:12" ht="12.75" customHeight="1" x14ac:dyDescent="0.25">
      <c r="A43" s="42" t="str">
        <f>'D2-FinPerf'!A37</f>
        <v>Total Expenditure</v>
      </c>
      <c r="B43" s="42"/>
      <c r="C43" s="42"/>
      <c r="D43" s="52">
        <f>'D2-FinPerf'!C37</f>
        <v>4416022</v>
      </c>
      <c r="E43" s="52">
        <f>'D2-FinPerf'!D37</f>
        <v>5717531</v>
      </c>
      <c r="F43" s="52">
        <f>'D2-FinPerf'!E37</f>
        <v>11256210.689999999</v>
      </c>
      <c r="G43" s="52">
        <f>'D2-FinPerf'!F37</f>
        <v>5498000.0000000009</v>
      </c>
      <c r="H43" s="52">
        <f>'D2-FinPerf'!G37</f>
        <v>842903</v>
      </c>
      <c r="I43" s="52">
        <f>'D2-FinPerf'!H37</f>
        <v>6340903.0000000009</v>
      </c>
      <c r="J43" s="52">
        <f>'D2-FinPerf'!I37</f>
        <v>6499999.709999999</v>
      </c>
      <c r="K43" s="52">
        <f>'D2-FinPerf'!J37</f>
        <v>6700000.0099999998</v>
      </c>
      <c r="L43" s="52">
        <f>'D2-FinPerf'!K37</f>
        <v>7100000.0199999996</v>
      </c>
    </row>
    <row r="44" spans="1:12" ht="12.75" customHeight="1" x14ac:dyDescent="0.25">
      <c r="A44" s="42" t="str">
        <f>'D5-CFlow'!A31</f>
        <v>Borrowing long term/refinancing</v>
      </c>
      <c r="B44" s="42"/>
      <c r="C44" s="42"/>
      <c r="D44" s="52">
        <f>'D5-CFlow'!C31</f>
        <v>0</v>
      </c>
      <c r="E44" s="52">
        <f>'D5-CFlow'!D31</f>
        <v>0</v>
      </c>
      <c r="F44" s="52">
        <f>'D5-CFlow'!E31</f>
        <v>0</v>
      </c>
      <c r="G44" s="52">
        <f>'D5-CFlow'!F31</f>
        <v>0</v>
      </c>
      <c r="H44" s="52">
        <f>'D5-CFlow'!G31</f>
        <v>0</v>
      </c>
      <c r="I44" s="52">
        <f>'D5-CFlow'!H31</f>
        <v>0</v>
      </c>
      <c r="J44" s="52">
        <f>'D5-CFlow'!I31</f>
        <v>0</v>
      </c>
      <c r="K44" s="52">
        <f>'D5-CFlow'!J31</f>
        <v>0</v>
      </c>
      <c r="L44" s="52">
        <f>'D5-CFlow'!K31</f>
        <v>0</v>
      </c>
    </row>
    <row r="45" spans="1:12" ht="12.75" customHeight="1" x14ac:dyDescent="0.25">
      <c r="A45" s="42" t="str">
        <f>'D3-Capex'!A31</f>
        <v>Total Capital Expenditure</v>
      </c>
      <c r="B45" s="42"/>
      <c r="C45" s="42"/>
      <c r="D45" s="52">
        <f>'D3-Capex'!C31</f>
        <v>41089</v>
      </c>
      <c r="E45" s="52">
        <f>'D3-Capex'!D31</f>
        <v>61968</v>
      </c>
      <c r="F45" s="52">
        <f>'D3-Capex'!E31</f>
        <v>2000</v>
      </c>
      <c r="G45" s="52">
        <f>'D3-Capex'!F31</f>
        <v>2000</v>
      </c>
      <c r="H45" s="52">
        <f>'D3-Capex'!G31</f>
        <v>0</v>
      </c>
      <c r="I45" s="52">
        <f>'D3-Capex'!H31</f>
        <v>2000</v>
      </c>
      <c r="J45" s="52">
        <f>'D3-Capex'!I31</f>
        <v>234701.3</v>
      </c>
      <c r="K45" s="52">
        <f>'D3-Capex'!J31</f>
        <v>248783</v>
      </c>
      <c r="L45" s="52">
        <f>'D3-Capex'!K31</f>
        <v>2633709.98</v>
      </c>
    </row>
    <row r="46" spans="1:12" ht="12.75" customHeight="1" x14ac:dyDescent="0.25">
      <c r="A46" s="42" t="str">
        <f>'D3-Capex'!A38</f>
        <v>Transfers recognised - capital</v>
      </c>
      <c r="B46" s="42"/>
      <c r="C46" s="42"/>
      <c r="D46" s="52">
        <f>'D3-Capex'!C38</f>
        <v>41</v>
      </c>
      <c r="E46" s="52">
        <f>'D3-Capex'!D38</f>
        <v>0</v>
      </c>
      <c r="F46" s="52">
        <f>'D3-Capex'!E38</f>
        <v>0</v>
      </c>
      <c r="G46" s="52">
        <f>'D3-Capex'!F38</f>
        <v>0</v>
      </c>
      <c r="H46" s="52">
        <f>'D3-Capex'!G38</f>
        <v>0</v>
      </c>
      <c r="I46" s="52">
        <f>'D3-Capex'!H38</f>
        <v>0</v>
      </c>
      <c r="J46" s="52">
        <f>'D3-Capex'!I38</f>
        <v>0</v>
      </c>
      <c r="K46" s="52">
        <f>'D3-Capex'!J38</f>
        <v>0</v>
      </c>
      <c r="L46" s="52">
        <f>'D3-Capex'!K38</f>
        <v>0</v>
      </c>
    </row>
    <row r="47" spans="1:12" ht="12.75" customHeight="1" x14ac:dyDescent="0.25">
      <c r="A47" s="42" t="str">
        <f>'D3-Capex'!A39</f>
        <v>Public contributions &amp; donations</v>
      </c>
      <c r="B47" s="42"/>
      <c r="C47" s="42"/>
      <c r="D47" s="52">
        <f>'D3-Capex'!C39</f>
        <v>0</v>
      </c>
      <c r="E47" s="52">
        <f>'D3-Capex'!D39</f>
        <v>0</v>
      </c>
      <c r="F47" s="52">
        <f>'D3-Capex'!E39</f>
        <v>0</v>
      </c>
      <c r="G47" s="52">
        <f>'D3-Capex'!F39</f>
        <v>0</v>
      </c>
      <c r="H47" s="52">
        <f>'D3-Capex'!G39</f>
        <v>0</v>
      </c>
      <c r="I47" s="52">
        <f>'D3-Capex'!H39</f>
        <v>0</v>
      </c>
      <c r="J47" s="52">
        <f>'D3-Capex'!I39</f>
        <v>0</v>
      </c>
      <c r="K47" s="52">
        <f>'D3-Capex'!J39</f>
        <v>0</v>
      </c>
      <c r="L47" s="52">
        <f>'D3-Capex'!K39</f>
        <v>0</v>
      </c>
    </row>
    <row r="48" spans="1:12" ht="12.75" customHeight="1" x14ac:dyDescent="0.25">
      <c r="A48" s="42" t="s">
        <v>509</v>
      </c>
      <c r="B48" s="42"/>
      <c r="C48" s="42"/>
      <c r="D48" s="52">
        <f>'D4-FinPos'!C35+'D4-FinPos'!C30+'D4-FinPos'!C27+'D4-FinPos'!C28</f>
        <v>60713</v>
      </c>
      <c r="E48" s="52">
        <f>'D4-FinPos'!D35+'D4-FinPos'!D30+'D4-FinPos'!D27+'D4-FinPos'!D28</f>
        <v>128791</v>
      </c>
      <c r="F48" s="52">
        <f>'D4-FinPos'!E35+'D4-FinPos'!E30+'D4-FinPos'!E27+'D4-FinPos'!E28</f>
        <v>109358</v>
      </c>
      <c r="G48" s="52">
        <f>'D4-FinPos'!F35+'D4-FinPos'!F30+'D4-FinPos'!F27+'D4-FinPos'!F28</f>
        <v>0</v>
      </c>
      <c r="H48" s="52">
        <f>'D4-FinPos'!G35+'D4-FinPos'!G30+'D4-FinPos'!G27+'D4-FinPos'!G28</f>
        <v>0</v>
      </c>
      <c r="I48" s="52">
        <f>'D4-FinPos'!H35+'D4-FinPos'!H30+'D4-FinPos'!H27+'D4-FinPos'!H28</f>
        <v>408838</v>
      </c>
      <c r="J48" s="52">
        <f>'D4-FinPos'!I35+'D4-FinPos'!I30+'D4-FinPos'!I27+'D4-FinPos'!I28</f>
        <v>0</v>
      </c>
      <c r="K48" s="52">
        <f>'D4-FinPos'!J35+'D4-FinPos'!J30+'D4-FinPos'!J27+'D4-FinPos'!J28</f>
        <v>0</v>
      </c>
      <c r="L48" s="52">
        <f>'D4-FinPos'!K35+'D4-FinPos'!K30+'D4-FinPos'!K27+'D4-FinPos'!K28</f>
        <v>0</v>
      </c>
    </row>
    <row r="49" spans="1:12" ht="12.75" customHeight="1" x14ac:dyDescent="0.25">
      <c r="A49" s="42" t="str">
        <f>'D4-FinPos'!A46</f>
        <v>TOTAL COMMUNITY WEALTH/EQUITY</v>
      </c>
      <c r="B49" s="42"/>
      <c r="C49" s="42"/>
      <c r="D49" s="52">
        <f>'D4-FinPos'!C46</f>
        <v>1472199</v>
      </c>
      <c r="E49" s="52">
        <f>'D4-FinPos'!D46</f>
        <v>2677086</v>
      </c>
      <c r="F49" s="52">
        <f>'D4-FinPos'!E46</f>
        <v>2347135</v>
      </c>
      <c r="G49" s="52">
        <f>'D4-FinPos'!F46</f>
        <v>0</v>
      </c>
      <c r="H49" s="52">
        <f>'D4-FinPos'!G46</f>
        <v>0</v>
      </c>
      <c r="I49" s="52">
        <f>'D4-FinPos'!H46</f>
        <v>799716</v>
      </c>
      <c r="J49" s="52">
        <f>'D4-FinPos'!I46</f>
        <v>235192</v>
      </c>
      <c r="K49" s="52">
        <f>'D4-FinPos'!J46</f>
        <v>262692</v>
      </c>
      <c r="L49" s="52">
        <f>'D4-FinPos'!K46</f>
        <v>288143</v>
      </c>
    </row>
    <row r="50" spans="1:12" ht="12.75" customHeight="1" x14ac:dyDescent="0.25">
      <c r="A50" s="42" t="str">
        <f>'D4-FinPos'!A35</f>
        <v>Borrowing</v>
      </c>
      <c r="B50" s="42"/>
      <c r="C50" s="42"/>
      <c r="D50" s="52">
        <f>'D4-FinPos'!C35</f>
        <v>0</v>
      </c>
      <c r="E50" s="52">
        <f>'D4-FinPos'!D35</f>
        <v>0</v>
      </c>
      <c r="F50" s="52">
        <f>'D4-FinPos'!E35</f>
        <v>0</v>
      </c>
      <c r="G50" s="52">
        <f>'D4-FinPos'!F35</f>
        <v>0</v>
      </c>
      <c r="H50" s="52">
        <f>'D4-FinPos'!G35</f>
        <v>0</v>
      </c>
      <c r="I50" s="52">
        <f>'D4-FinPos'!H35</f>
        <v>0</v>
      </c>
      <c r="J50" s="52">
        <f>'D4-FinPos'!I35</f>
        <v>0</v>
      </c>
      <c r="K50" s="52">
        <f>'D4-FinPos'!J35</f>
        <v>0</v>
      </c>
      <c r="L50" s="52">
        <f>'D4-FinPos'!K35</f>
        <v>0</v>
      </c>
    </row>
    <row r="51" spans="1:12" ht="12.75" customHeight="1" x14ac:dyDescent="0.25">
      <c r="A51" s="42" t="str">
        <f>'D4-FinPos'!A12</f>
        <v>Total current assets</v>
      </c>
      <c r="B51" s="42"/>
      <c r="C51" s="42"/>
      <c r="D51" s="52">
        <f>'D4-FinPos'!C12</f>
        <v>1691302</v>
      </c>
      <c r="E51" s="52">
        <f>'D4-FinPos'!D12</f>
        <v>2715102</v>
      </c>
      <c r="F51" s="52">
        <f>'D4-FinPos'!E12</f>
        <v>2272483</v>
      </c>
      <c r="G51" s="52">
        <f>'D4-FinPos'!F12</f>
        <v>0</v>
      </c>
      <c r="H51" s="52">
        <f>'D4-FinPos'!G12</f>
        <v>0</v>
      </c>
      <c r="I51" s="52">
        <f>'D4-FinPos'!H12</f>
        <v>998362</v>
      </c>
      <c r="J51" s="52">
        <f>'D4-FinPos'!I12</f>
        <v>0</v>
      </c>
      <c r="K51" s="52">
        <f>'D4-FinPos'!J12</f>
        <v>0</v>
      </c>
      <c r="L51" s="52">
        <f>'D4-FinPos'!K12</f>
        <v>0</v>
      </c>
    </row>
    <row r="52" spans="1:12" ht="12.75" customHeight="1" x14ac:dyDescent="0.25">
      <c r="A52" s="42" t="str">
        <f>'D4-FinPos'!A32</f>
        <v>Total current liabilities</v>
      </c>
      <c r="B52" s="42"/>
      <c r="C52" s="42"/>
      <c r="D52" s="52">
        <f>'D4-FinPos'!C32</f>
        <v>274434</v>
      </c>
      <c r="E52" s="52">
        <f>'D4-FinPos'!D32</f>
        <v>128891</v>
      </c>
      <c r="F52" s="52">
        <f>'D4-FinPos'!E32</f>
        <v>109358</v>
      </c>
      <c r="G52" s="52">
        <f>'D4-FinPos'!F32</f>
        <v>0</v>
      </c>
      <c r="H52" s="52">
        <f>'D4-FinPos'!G32</f>
        <v>0</v>
      </c>
      <c r="I52" s="52">
        <f>'D4-FinPos'!H32</f>
        <v>408838</v>
      </c>
      <c r="J52" s="52">
        <f>'D4-FinPos'!I32</f>
        <v>0</v>
      </c>
      <c r="K52" s="52">
        <f>'D4-FinPos'!J32</f>
        <v>0</v>
      </c>
      <c r="L52" s="52">
        <f>'D4-FinPos'!K32</f>
        <v>0</v>
      </c>
    </row>
    <row r="53" spans="1:12" ht="12.75" customHeight="1" x14ac:dyDescent="0.25">
      <c r="A53" s="42" t="s">
        <v>510</v>
      </c>
      <c r="B53" s="42"/>
      <c r="C53" s="42"/>
      <c r="D53" s="309"/>
      <c r="E53" s="309"/>
      <c r="F53" s="309"/>
      <c r="G53" s="309"/>
      <c r="H53" s="309"/>
      <c r="I53" s="309"/>
      <c r="J53" s="309"/>
      <c r="K53" s="309"/>
      <c r="L53" s="309"/>
    </row>
    <row r="54" spans="1:12" ht="12.75" customHeight="1" x14ac:dyDescent="0.25">
      <c r="A54" s="42" t="s">
        <v>511</v>
      </c>
      <c r="B54" s="42"/>
      <c r="C54" s="42"/>
      <c r="D54" s="52">
        <f>'D4-FinPos'!C6+'D4-FinPos'!C7-'D4-FinPos'!C27</f>
        <v>1448335</v>
      </c>
      <c r="E54" s="52">
        <f>'D4-FinPos'!D6+'D4-FinPos'!D7-'D4-FinPos'!D27</f>
        <v>2338431</v>
      </c>
      <c r="F54" s="52">
        <f>'D4-FinPos'!E6+'D4-FinPos'!E7-'D4-FinPos'!E27</f>
        <v>2023544</v>
      </c>
      <c r="G54" s="52">
        <f>'D4-FinPos'!F6+'D4-FinPos'!F7-'D4-FinPos'!F27</f>
        <v>0</v>
      </c>
      <c r="H54" s="52">
        <f>'D4-FinPos'!G6+'D4-FinPos'!G7-'D4-FinPos'!G27</f>
        <v>0</v>
      </c>
      <c r="I54" s="52">
        <f>'D4-FinPos'!H6+'D4-FinPos'!H7-'D4-FinPos'!H27</f>
        <v>932806</v>
      </c>
      <c r="J54" s="52">
        <f>'D4-FinPos'!I6+'D4-FinPos'!I7-'D4-FinPos'!I27</f>
        <v>0</v>
      </c>
      <c r="K54" s="52">
        <f>'D4-FinPos'!J6+'D4-FinPos'!J7-'D4-FinPos'!J27</f>
        <v>0</v>
      </c>
      <c r="L54" s="52">
        <f>'D4-FinPos'!K6+'D4-FinPos'!K7-'D4-FinPos'!K27</f>
        <v>0</v>
      </c>
    </row>
    <row r="55" spans="1:12" ht="12.75" customHeight="1" x14ac:dyDescent="0.25">
      <c r="A55" s="42" t="s">
        <v>512</v>
      </c>
      <c r="B55" s="42"/>
      <c r="C55" s="42"/>
      <c r="D55" s="52"/>
      <c r="E55" s="52">
        <f>'D5-CFlow'!C6</f>
        <v>4635464</v>
      </c>
      <c r="F55" s="52">
        <f>'D5-CFlow'!D6</f>
        <v>5660536</v>
      </c>
      <c r="G55" s="52">
        <f>'D5-CFlow'!E6</f>
        <v>6040442</v>
      </c>
      <c r="H55" s="52">
        <f>'D5-CFlow'!F6</f>
        <v>5698000</v>
      </c>
      <c r="I55" s="52">
        <f>'D5-CFlow'!G6</f>
        <v>0</v>
      </c>
      <c r="J55" s="52">
        <f>'D5-CFlow'!H6</f>
        <v>5697583</v>
      </c>
      <c r="K55" s="52">
        <f>'D5-CFlow'!I6</f>
        <v>6734701</v>
      </c>
      <c r="L55" s="52">
        <f>'D5-CFlow'!J6</f>
        <v>6948783</v>
      </c>
    </row>
    <row r="56" spans="1:12" ht="12.75" customHeight="1" x14ac:dyDescent="0.25">
      <c r="A56" s="42" t="s">
        <v>513</v>
      </c>
      <c r="B56" s="42"/>
      <c r="C56" s="42"/>
      <c r="D56" s="52"/>
      <c r="E56" s="52">
        <f>SUM('D2-FinPerf'!C5:C12)+SUM('D2-FinPerf'!C16:C18)+'D2-FinPerf'!C20</f>
        <v>4635454</v>
      </c>
      <c r="F56" s="52">
        <f>SUM('D2-FinPerf'!D5:D12)+SUM('D2-FinPerf'!D16:D18)+'D2-FinPerf'!D20</f>
        <v>5475832.8399999999</v>
      </c>
      <c r="G56" s="52">
        <f>SUM('D2-FinPerf'!E5:E12)+SUM('D2-FinPerf'!E16:E18)+'D2-FinPerf'!E20</f>
        <v>4825855.34</v>
      </c>
      <c r="H56" s="52">
        <f>SUM('D2-FinPerf'!F5:F12)+SUM('D2-FinPerf'!F16:F18)+'D2-FinPerf'!F20</f>
        <v>5500000</v>
      </c>
      <c r="I56" s="52">
        <f>SUM('D2-FinPerf'!G5:G12)+SUM('D2-FinPerf'!G16:G18)+'D2-FinPerf'!G20</f>
        <v>842903</v>
      </c>
      <c r="J56" s="52">
        <f>SUM('D2-FinPerf'!H5:H12)+SUM('D2-FinPerf'!H16:H18)+'D2-FinPerf'!H20</f>
        <v>6342903</v>
      </c>
      <c r="K56" s="52">
        <f>SUM('D2-FinPerf'!I5:I12)+SUM('D2-FinPerf'!I16:I18)+'D2-FinPerf'!I20</f>
        <v>6734701</v>
      </c>
      <c r="L56" s="52">
        <f>SUM('D2-FinPerf'!J5:J12)+SUM('D2-FinPerf'!J16:J18)+'D2-FinPerf'!J20</f>
        <v>6948783</v>
      </c>
    </row>
    <row r="57" spans="1:12" ht="12.75" customHeight="1" x14ac:dyDescent="0.25">
      <c r="A57" s="42" t="s">
        <v>514</v>
      </c>
      <c r="B57" s="42"/>
      <c r="C57" s="42"/>
      <c r="D57" s="52">
        <f>'D4-FinPos'!C8+'D4-FinPos'!C9+'D4-FinPos'!C10+'D4-FinPos'!C15</f>
        <v>242967</v>
      </c>
      <c r="E57" s="52">
        <f>'D4-FinPos'!D8+'D4-FinPos'!D9+'D4-FinPos'!D10+'D4-FinPos'!D15</f>
        <v>376671</v>
      </c>
      <c r="F57" s="52">
        <f>'D4-FinPos'!E8+'D4-FinPos'!E9+'D4-FinPos'!E10+'D4-FinPos'!E15</f>
        <v>248939</v>
      </c>
      <c r="G57" s="52">
        <f>'D4-FinPos'!F8+'D4-FinPos'!F9+'D4-FinPos'!F10+'D4-FinPos'!F15</f>
        <v>0</v>
      </c>
      <c r="H57" s="52">
        <f>'D4-FinPos'!G8+'D4-FinPos'!G9+'D4-FinPos'!G10+'D4-FinPos'!G15</f>
        <v>0</v>
      </c>
      <c r="I57" s="52">
        <f>'D4-FinPos'!H8+'D4-FinPos'!H9+'D4-FinPos'!H10+'D4-FinPos'!H15</f>
        <v>65556</v>
      </c>
      <c r="J57" s="52">
        <f>'D4-FinPos'!I8+'D4-FinPos'!I9+'D4-FinPos'!I10+'D4-FinPos'!I15</f>
        <v>0</v>
      </c>
      <c r="K57" s="52">
        <f>'D4-FinPos'!J8+'D4-FinPos'!J9+'D4-FinPos'!J10+'D4-FinPos'!J15</f>
        <v>0</v>
      </c>
      <c r="L57" s="52">
        <f>'D4-FinPos'!K8+'D4-FinPos'!K9+'D4-FinPos'!K10+'D4-FinPos'!K15</f>
        <v>0</v>
      </c>
    </row>
    <row r="58" spans="1:12" ht="12.75" customHeight="1" x14ac:dyDescent="0.25">
      <c r="A58" s="42" t="str">
        <f>'D2-FinPerf'!A22</f>
        <v>Total Revenue (excluding capital transfers and contributions)</v>
      </c>
      <c r="B58" s="42"/>
      <c r="C58" s="42"/>
      <c r="D58" s="52">
        <f>'D2-FinPerf'!C22</f>
        <v>4663390</v>
      </c>
      <c r="E58" s="52">
        <f>'D2-FinPerf'!D22</f>
        <v>5492643.8399999999</v>
      </c>
      <c r="F58" s="52">
        <f>'D2-FinPerf'!E22</f>
        <v>4858976.49</v>
      </c>
      <c r="G58" s="52">
        <f>'D2-FinPerf'!F22</f>
        <v>5500000</v>
      </c>
      <c r="H58" s="52">
        <f>'D2-FinPerf'!G22</f>
        <v>842903</v>
      </c>
      <c r="I58" s="52">
        <f>'D2-FinPerf'!H22</f>
        <v>6342903</v>
      </c>
      <c r="J58" s="52">
        <f>'D2-FinPerf'!I22</f>
        <v>6734701</v>
      </c>
      <c r="K58" s="52">
        <f>'D2-FinPerf'!J22</f>
        <v>6948783</v>
      </c>
      <c r="L58" s="52">
        <f>'D2-FinPerf'!K22</f>
        <v>7363710</v>
      </c>
    </row>
    <row r="59" spans="1:12" ht="12.75" customHeight="1" x14ac:dyDescent="0.25">
      <c r="A59" s="42" t="str">
        <f>'D2-FinPerf'!A25</f>
        <v>Employee related costs</v>
      </c>
      <c r="B59" s="42"/>
      <c r="C59" s="42"/>
      <c r="D59" s="52">
        <f>'D2-FinPerf'!C25</f>
        <v>1521107</v>
      </c>
      <c r="E59" s="52">
        <f>'D2-FinPerf'!D25</f>
        <v>3105414</v>
      </c>
      <c r="F59" s="52">
        <f>'D2-FinPerf'!E25</f>
        <v>8837194.6500000004</v>
      </c>
      <c r="G59" s="52">
        <f>'D2-FinPerf'!F25</f>
        <v>3559969.47</v>
      </c>
      <c r="H59" s="52">
        <f>'D2-FinPerf'!G25</f>
        <v>-321395.98</v>
      </c>
      <c r="I59" s="52">
        <f>'D2-FinPerf'!H25</f>
        <v>3238573.49</v>
      </c>
      <c r="J59" s="52">
        <f>'D2-FinPerf'!I25</f>
        <v>3465273.65</v>
      </c>
      <c r="K59" s="52">
        <f>'D2-FinPerf'!J25</f>
        <v>3715181.69</v>
      </c>
      <c r="L59" s="52">
        <f>'D2-FinPerf'!K25</f>
        <v>3983317.19</v>
      </c>
    </row>
    <row r="60" spans="1:12" ht="12.75" customHeight="1" x14ac:dyDescent="0.25">
      <c r="A60" s="42" t="s">
        <v>515</v>
      </c>
      <c r="B60" s="42"/>
      <c r="C60" s="42"/>
      <c r="D60" s="52">
        <f>'D2-FinPerf'!C50</f>
        <v>0</v>
      </c>
      <c r="E60" s="52">
        <f>'D2-FinPerf'!D50</f>
        <v>0</v>
      </c>
      <c r="F60" s="52">
        <f>'D2-FinPerf'!E50</f>
        <v>0</v>
      </c>
      <c r="G60" s="52">
        <f>'D2-FinPerf'!F50</f>
        <v>0</v>
      </c>
      <c r="H60" s="52">
        <f>'D2-FinPerf'!G50</f>
        <v>0</v>
      </c>
      <c r="I60" s="52">
        <f>'D2-FinPerf'!H50</f>
        <v>0</v>
      </c>
      <c r="J60" s="52">
        <f>'D2-FinPerf'!I50</f>
        <v>0</v>
      </c>
      <c r="K60" s="52">
        <f>'D2-FinPerf'!J50</f>
        <v>0</v>
      </c>
      <c r="L60" s="52">
        <f>'D2-FinPerf'!K50</f>
        <v>0</v>
      </c>
    </row>
    <row r="61" spans="1:12" ht="12.75" customHeight="1" x14ac:dyDescent="0.25">
      <c r="A61" s="42" t="s">
        <v>516</v>
      </c>
      <c r="B61" s="42"/>
      <c r="C61" s="42"/>
      <c r="D61" s="52">
        <f>D58-'D2-FinPerf'!C19</f>
        <v>4663390</v>
      </c>
      <c r="E61" s="52">
        <f>E58-'D2-FinPerf'!D19</f>
        <v>5492643.8399999999</v>
      </c>
      <c r="F61" s="52">
        <f>F58-'D2-FinPerf'!E19</f>
        <v>4858976.49</v>
      </c>
      <c r="G61" s="52">
        <f>G58-'D2-FinPerf'!F19</f>
        <v>5500000</v>
      </c>
      <c r="H61" s="52">
        <f>H58-'D2-FinPerf'!G19</f>
        <v>842903</v>
      </c>
      <c r="I61" s="52">
        <f>I58-'D2-FinPerf'!H19</f>
        <v>6342903</v>
      </c>
      <c r="J61" s="52">
        <f>J58-'D2-FinPerf'!I19</f>
        <v>6734701</v>
      </c>
      <c r="K61" s="52">
        <f>K58-'D2-FinPerf'!J19</f>
        <v>6948783</v>
      </c>
      <c r="L61" s="52">
        <f>L58-'D2-FinPerf'!K19</f>
        <v>7363710</v>
      </c>
    </row>
    <row r="62" spans="1:12" ht="12.75" customHeight="1" x14ac:dyDescent="0.25">
      <c r="A62" s="42" t="s">
        <v>517</v>
      </c>
      <c r="B62" s="42"/>
      <c r="C62" s="42"/>
      <c r="D62" s="309">
        <f>-('D5-CFlow'!D13+'D5-CFlow'!D34)</f>
        <v>0</v>
      </c>
      <c r="E62" s="309">
        <f>-('D5-CFlow'!E13+'D5-CFlow'!E34)</f>
        <v>9113</v>
      </c>
      <c r="F62" s="309">
        <f>-('D5-CFlow'!F13+'D5-CFlow'!F34)</f>
        <v>63000</v>
      </c>
      <c r="G62" s="309">
        <f>-('D5-CFlow'!G13+'D5-CFlow'!G34)</f>
        <v>0</v>
      </c>
      <c r="H62" s="309">
        <f>-('D5-CFlow'!H13+'D5-CFlow'!H34)</f>
        <v>63142</v>
      </c>
      <c r="I62" s="309">
        <f>-('D5-CFlow'!I13+'D5-CFlow'!I34)</f>
        <v>0</v>
      </c>
      <c r="J62" s="309">
        <f>-('D5-CFlow'!J13+'D5-CFlow'!J34)</f>
        <v>0</v>
      </c>
      <c r="K62" s="309">
        <f>-('D5-CFlow'!K13+'D5-CFlow'!K34)</f>
        <v>0</v>
      </c>
      <c r="L62" s="309">
        <f>-('D5-CFlow'!L13+'D5-CFlow'!L34)</f>
        <v>0</v>
      </c>
    </row>
    <row r="63" spans="1:12" ht="12.75" customHeight="1" x14ac:dyDescent="0.25">
      <c r="A63" s="42" t="s">
        <v>518</v>
      </c>
      <c r="B63" s="42"/>
      <c r="C63" s="42"/>
      <c r="D63" s="52">
        <f>'D4-FinPos'!C8+'D4-FinPos'!C10+'D4-FinPos'!C15</f>
        <v>0</v>
      </c>
      <c r="E63" s="52">
        <f>'D4-FinPos'!D8+'D4-FinPos'!D10+'D4-FinPos'!D15</f>
        <v>0</v>
      </c>
      <c r="F63" s="52">
        <f>'D4-FinPos'!E8+'D4-FinPos'!E10+'D4-FinPos'!E15</f>
        <v>0</v>
      </c>
      <c r="G63" s="52">
        <f>'D4-FinPos'!F8+'D4-FinPos'!F10+'D4-FinPos'!F15</f>
        <v>0</v>
      </c>
      <c r="H63" s="52">
        <f>'D4-FinPos'!G8+'D4-FinPos'!G10+'D4-FinPos'!G15</f>
        <v>0</v>
      </c>
      <c r="I63" s="52">
        <f>'D4-FinPos'!H8+'D4-FinPos'!H10+'D4-FinPos'!H15</f>
        <v>0</v>
      </c>
      <c r="J63" s="52">
        <f>'D4-FinPos'!I8+'D4-FinPos'!I10+'D4-FinPos'!I15</f>
        <v>0</v>
      </c>
      <c r="K63" s="52">
        <f>'D4-FinPos'!J8+'D4-FinPos'!J10+'D4-FinPos'!J15</f>
        <v>0</v>
      </c>
      <c r="L63" s="52">
        <f>'D4-FinPos'!K8+'D4-FinPos'!K10+'D4-FinPos'!K15</f>
        <v>0</v>
      </c>
    </row>
    <row r="64" spans="1:12" ht="12.75" customHeight="1" x14ac:dyDescent="0.25">
      <c r="A64" s="42" t="s">
        <v>519</v>
      </c>
      <c r="B64" s="42"/>
      <c r="C64" s="42"/>
      <c r="D64" s="52">
        <f>SUM('D2-FinPerf'!C5:C11)</f>
        <v>0</v>
      </c>
      <c r="E64" s="52">
        <f>SUM('D2-FinPerf'!D5:D11)</f>
        <v>0</v>
      </c>
      <c r="F64" s="52">
        <f>SUM('D2-FinPerf'!E5:E11)</f>
        <v>0</v>
      </c>
      <c r="G64" s="52">
        <f>SUM('D2-FinPerf'!F5:F11)</f>
        <v>0</v>
      </c>
      <c r="H64" s="52">
        <f>SUM('D2-FinPerf'!G5:G11)</f>
        <v>0</v>
      </c>
      <c r="I64" s="52">
        <f>SUM('D2-FinPerf'!H5:H11)</f>
        <v>0</v>
      </c>
      <c r="J64" s="52">
        <f>SUM('D2-FinPerf'!I5:I11)</f>
        <v>0</v>
      </c>
      <c r="K64" s="52">
        <f>SUM('D2-FinPerf'!J5:J11)</f>
        <v>0</v>
      </c>
      <c r="L64" s="52">
        <f>SUM('D2-FinPerf'!K5:K11)</f>
        <v>0</v>
      </c>
    </row>
    <row r="65" spans="1:12" ht="12.75" customHeight="1" x14ac:dyDescent="0.25">
      <c r="A65" s="42" t="s">
        <v>520</v>
      </c>
      <c r="B65" s="42"/>
      <c r="C65" s="42"/>
      <c r="D65" s="52">
        <f>'D4-FinPos'!C6+'D4-FinPos'!C7-'D4-FinPos'!C27</f>
        <v>1448335</v>
      </c>
      <c r="E65" s="52">
        <f>'D4-FinPos'!D6+'D4-FinPos'!D7-'D4-FinPos'!D27</f>
        <v>2338431</v>
      </c>
      <c r="F65" s="52">
        <f>'D4-FinPos'!E6+'D4-FinPos'!E7-'D4-FinPos'!E27</f>
        <v>2023544</v>
      </c>
      <c r="G65" s="52">
        <f>'D4-FinPos'!F6+'D4-FinPos'!F7-'D4-FinPos'!F27</f>
        <v>0</v>
      </c>
      <c r="H65" s="52">
        <f>'D4-FinPos'!G6+'D4-FinPos'!G7-'D4-FinPos'!G27</f>
        <v>0</v>
      </c>
      <c r="I65" s="52">
        <f>'D4-FinPos'!H6+'D4-FinPos'!H7-'D4-FinPos'!H27</f>
        <v>932806</v>
      </c>
      <c r="J65" s="52">
        <f>'D4-FinPos'!I6+'D4-FinPos'!I7-'D4-FinPos'!I27</f>
        <v>0</v>
      </c>
      <c r="K65" s="52">
        <f>'D4-FinPos'!J6+'D4-FinPos'!J7-'D4-FinPos'!J27</f>
        <v>0</v>
      </c>
      <c r="L65" s="52">
        <f>'D4-FinPos'!K6+'D4-FinPos'!K7-'D4-FinPos'!K27</f>
        <v>0</v>
      </c>
    </row>
    <row r="66" spans="1:12" ht="12.75" customHeight="1" x14ac:dyDescent="0.25">
      <c r="A66" s="20" t="s">
        <v>522</v>
      </c>
      <c r="D66" s="52">
        <f>('D2-FinPerf'!C25+'D2-FinPerf'!C26+'D2-FinPerf'!C28+'D2-FinPerf'!C30+'D2-FinPerf'!C31+'D2-FinPerf'!C32+'D2-FinPerf'!C33+'D2-FinPerf'!C34+'D2-FinPerf'!C35)*'SD2'!D67</f>
        <v>2649613.1999999997</v>
      </c>
      <c r="E66" s="52">
        <f>('D2-FinPerf'!D25+'D2-FinPerf'!D26+'D2-FinPerf'!D28+'D2-FinPerf'!D30+'D2-FinPerf'!D31+'D2-FinPerf'!D32+'D2-FinPerf'!D33+'D2-FinPerf'!D34+'D2-FinPerf'!D35)*'SD2'!E67</f>
        <v>3430518.6</v>
      </c>
      <c r="F66" s="52">
        <f>('D2-FinPerf'!E25+'D2-FinPerf'!E26+'D2-FinPerf'!E28+'D2-FinPerf'!E30+'D2-FinPerf'!E31+'D2-FinPerf'!E32+'D2-FinPerf'!E33+'D2-FinPerf'!E34+'D2-FinPerf'!E35)*'SD2'!F67</f>
        <v>6753726.4139999999</v>
      </c>
      <c r="G66" s="52">
        <f>('D2-FinPerf'!F25+'D2-FinPerf'!F26+'D2-FinPerf'!F28+'D2-FinPerf'!F30+'D2-FinPerf'!F31+'D2-FinPerf'!F32+'D2-FinPerf'!F33+'D2-FinPerf'!F34+'D2-FinPerf'!F35)*'SD2'!G67</f>
        <v>3298800.0000000005</v>
      </c>
      <c r="H66" s="52">
        <f>('D2-FinPerf'!G25+'D2-FinPerf'!G26+'D2-FinPerf'!G28+'D2-FinPerf'!G30+'D2-FinPerf'!G31+'D2-FinPerf'!G32+'D2-FinPerf'!G33+'D2-FinPerf'!G34+'D2-FinPerf'!G35)*'SD2'!H67</f>
        <v>505741.8</v>
      </c>
      <c r="I66" s="52">
        <f>('D2-FinPerf'!H25+'D2-FinPerf'!H26+'D2-FinPerf'!H28+'D2-FinPerf'!H30+'D2-FinPerf'!H31+'D2-FinPerf'!H32+'D2-FinPerf'!H33+'D2-FinPerf'!H34+'D2-FinPerf'!H35)*'SD2'!I67</f>
        <v>3804541.8000000003</v>
      </c>
      <c r="J66" s="52">
        <f>('D2-FinPerf'!I25+'D2-FinPerf'!I26+'D2-FinPerf'!I28+'D2-FinPerf'!I30+'D2-FinPerf'!I31+'D2-FinPerf'!I32+'D2-FinPerf'!I33+'D2-FinPerf'!I34+'D2-FinPerf'!I35)*'SD2'!J67</f>
        <v>3899999.8259999994</v>
      </c>
      <c r="K66" s="52">
        <f>('D2-FinPerf'!J25+'D2-FinPerf'!J26+'D2-FinPerf'!J28+'D2-FinPerf'!J30+'D2-FinPerf'!J31+'D2-FinPerf'!J32+'D2-FinPerf'!J33+'D2-FinPerf'!J34+'D2-FinPerf'!J35)*'SD2'!K67</f>
        <v>4020000.0059999996</v>
      </c>
      <c r="L66" s="52">
        <f>('D2-FinPerf'!K25+'D2-FinPerf'!K26+'D2-FinPerf'!K28+'D2-FinPerf'!K30+'D2-FinPerf'!K31+'D2-FinPerf'!K32+'D2-FinPerf'!K33+'D2-FinPerf'!K34+'D2-FinPerf'!K35)*'SD2'!L67</f>
        <v>4260000.0119999992</v>
      </c>
    </row>
    <row r="67" spans="1:12" ht="12.75" customHeight="1" x14ac:dyDescent="0.25">
      <c r="A67" s="20" t="s">
        <v>521</v>
      </c>
      <c r="D67" s="586">
        <v>0.6</v>
      </c>
      <c r="E67" s="586">
        <f>D67</f>
        <v>0.6</v>
      </c>
      <c r="F67" s="586">
        <f t="shared" ref="F67:L67" si="16">E67</f>
        <v>0.6</v>
      </c>
      <c r="G67" s="586">
        <f t="shared" si="16"/>
        <v>0.6</v>
      </c>
      <c r="H67" s="586">
        <f t="shared" si="16"/>
        <v>0.6</v>
      </c>
      <c r="I67" s="586">
        <f t="shared" si="16"/>
        <v>0.6</v>
      </c>
      <c r="J67" s="586">
        <f t="shared" si="16"/>
        <v>0.6</v>
      </c>
      <c r="K67" s="586">
        <f t="shared" si="16"/>
        <v>0.6</v>
      </c>
      <c r="L67" s="586">
        <f t="shared" si="16"/>
        <v>0.6</v>
      </c>
    </row>
    <row r="68" spans="1:12" ht="12.75" customHeight="1" x14ac:dyDescent="0.25">
      <c r="D68" s="52"/>
      <c r="E68" s="52"/>
      <c r="F68" s="52"/>
      <c r="G68" s="52"/>
      <c r="H68" s="52"/>
      <c r="I68" s="52"/>
      <c r="J68" s="52"/>
      <c r="K68" s="52"/>
      <c r="L68" s="52"/>
    </row>
    <row r="69" spans="1:12" ht="12.75" customHeight="1" x14ac:dyDescent="0.25">
      <c r="D69" s="52"/>
      <c r="E69" s="52"/>
      <c r="F69" s="52"/>
      <c r="G69" s="52"/>
      <c r="H69" s="52"/>
      <c r="I69" s="52"/>
      <c r="J69" s="52"/>
      <c r="K69" s="52"/>
      <c r="L69" s="52"/>
    </row>
    <row r="70" spans="1:12" ht="12.75" customHeight="1" x14ac:dyDescent="0.25">
      <c r="D70" s="52"/>
      <c r="E70" s="52"/>
      <c r="F70" s="52"/>
      <c r="G70" s="52"/>
      <c r="H70" s="52"/>
      <c r="I70" s="52"/>
      <c r="J70" s="52"/>
      <c r="K70" s="52"/>
      <c r="L70" s="52"/>
    </row>
    <row r="71" spans="1:12" ht="12.75" customHeight="1" x14ac:dyDescent="0.25">
      <c r="D71" s="52"/>
      <c r="E71" s="52"/>
      <c r="F71" s="52"/>
      <c r="G71" s="52"/>
      <c r="H71" s="52"/>
      <c r="I71" s="52"/>
      <c r="J71" s="52"/>
      <c r="K71" s="52"/>
      <c r="L71" s="52"/>
    </row>
    <row r="72" spans="1:12" ht="12.75" customHeight="1" x14ac:dyDescent="0.25">
      <c r="D72" s="52"/>
      <c r="E72" s="52"/>
      <c r="F72" s="52"/>
      <c r="G72" s="52"/>
      <c r="H72" s="52"/>
      <c r="I72" s="52"/>
      <c r="J72" s="52"/>
      <c r="K72" s="52"/>
      <c r="L72" s="52"/>
    </row>
    <row r="73" spans="1:12" ht="12.75" customHeight="1" x14ac:dyDescent="0.25">
      <c r="D73" s="52"/>
      <c r="E73" s="52"/>
      <c r="F73" s="52"/>
      <c r="G73" s="52"/>
      <c r="H73" s="52"/>
      <c r="I73" s="52"/>
      <c r="J73" s="52"/>
      <c r="K73" s="52"/>
      <c r="L73" s="52"/>
    </row>
    <row r="74" spans="1:12" ht="12.75" customHeight="1" x14ac:dyDescent="0.25">
      <c r="D74" s="52"/>
      <c r="E74" s="52"/>
      <c r="F74" s="52"/>
      <c r="G74" s="52"/>
      <c r="H74" s="52"/>
      <c r="I74" s="52"/>
      <c r="J74" s="52"/>
      <c r="K74" s="52"/>
      <c r="L74" s="52"/>
    </row>
    <row r="75" spans="1:12" ht="12.75" customHeight="1" x14ac:dyDescent="0.25">
      <c r="D75" s="52"/>
      <c r="E75" s="52"/>
      <c r="F75" s="52"/>
      <c r="G75" s="52"/>
      <c r="H75" s="52"/>
      <c r="I75" s="52"/>
      <c r="J75" s="52"/>
      <c r="K75" s="52"/>
      <c r="L75" s="52"/>
    </row>
    <row r="76" spans="1:12" ht="12.75" customHeight="1" x14ac:dyDescent="0.25">
      <c r="D76" s="52"/>
      <c r="E76" s="52"/>
      <c r="F76" s="52"/>
      <c r="G76" s="52"/>
      <c r="H76" s="52"/>
      <c r="I76" s="52"/>
      <c r="J76" s="52"/>
      <c r="K76" s="52"/>
      <c r="L76" s="52"/>
    </row>
    <row r="77" spans="1:12" ht="12.75" customHeight="1" x14ac:dyDescent="0.25">
      <c r="D77" s="52"/>
      <c r="E77" s="52"/>
      <c r="F77" s="52"/>
      <c r="G77" s="52"/>
      <c r="H77" s="52"/>
      <c r="I77" s="52"/>
      <c r="J77" s="52"/>
      <c r="K77" s="52"/>
      <c r="L77" s="52"/>
    </row>
    <row r="78" spans="1:12" ht="12.75" customHeight="1" x14ac:dyDescent="0.25">
      <c r="D78" s="52"/>
      <c r="E78" s="52"/>
      <c r="F78" s="52"/>
      <c r="G78" s="52"/>
      <c r="H78" s="52"/>
      <c r="I78" s="52"/>
      <c r="J78" s="52"/>
      <c r="K78" s="52"/>
      <c r="L78" s="52"/>
    </row>
    <row r="79" spans="1:12" ht="12.75" customHeight="1" x14ac:dyDescent="0.25">
      <c r="D79" s="52"/>
      <c r="E79" s="52"/>
      <c r="F79" s="52"/>
      <c r="G79" s="52"/>
      <c r="H79" s="52"/>
      <c r="I79" s="52"/>
      <c r="J79" s="52"/>
      <c r="K79" s="52"/>
      <c r="L79" s="52"/>
    </row>
    <row r="80" spans="1:12" ht="12.75" customHeight="1" x14ac:dyDescent="0.25">
      <c r="D80" s="52"/>
      <c r="E80" s="52"/>
      <c r="F80" s="52"/>
      <c r="G80" s="52"/>
      <c r="H80" s="52"/>
      <c r="I80" s="52"/>
      <c r="J80" s="52"/>
      <c r="K80" s="52"/>
      <c r="L80" s="52"/>
    </row>
    <row r="81" spans="4:12" ht="12.75" customHeight="1" x14ac:dyDescent="0.25">
      <c r="D81" s="52"/>
      <c r="E81" s="52"/>
      <c r="F81" s="52"/>
      <c r="G81" s="52"/>
      <c r="H81" s="52"/>
      <c r="I81" s="52"/>
      <c r="J81" s="52"/>
      <c r="K81" s="52"/>
      <c r="L81" s="52"/>
    </row>
    <row r="82" spans="4:12" ht="12.75" customHeight="1" x14ac:dyDescent="0.25">
      <c r="D82" s="52"/>
      <c r="E82" s="52"/>
      <c r="F82" s="52"/>
      <c r="G82" s="52"/>
      <c r="H82" s="52"/>
      <c r="I82" s="52"/>
      <c r="J82" s="52"/>
      <c r="K82" s="52"/>
      <c r="L82" s="52"/>
    </row>
    <row r="83" spans="4:12" ht="12.75" customHeight="1" x14ac:dyDescent="0.25">
      <c r="D83" s="52"/>
      <c r="E83" s="52"/>
      <c r="F83" s="52"/>
      <c r="G83" s="52"/>
      <c r="H83" s="52"/>
      <c r="I83" s="52"/>
      <c r="J83" s="52"/>
      <c r="K83" s="52"/>
      <c r="L83" s="52"/>
    </row>
    <row r="84" spans="4:12" ht="12.75" customHeight="1" x14ac:dyDescent="0.25">
      <c r="D84" s="52"/>
      <c r="E84" s="52"/>
      <c r="F84" s="52"/>
      <c r="G84" s="52"/>
      <c r="H84" s="52"/>
      <c r="I84" s="52"/>
      <c r="J84" s="52"/>
      <c r="K84" s="52"/>
      <c r="L84" s="52"/>
    </row>
    <row r="85" spans="4:12" ht="12.75" customHeight="1" x14ac:dyDescent="0.25">
      <c r="D85" s="52"/>
      <c r="E85" s="52"/>
      <c r="F85" s="52"/>
      <c r="G85" s="52"/>
      <c r="H85" s="52"/>
      <c r="I85" s="52"/>
      <c r="J85" s="52"/>
      <c r="K85" s="52"/>
      <c r="L85" s="52"/>
    </row>
    <row r="86" spans="4:12" ht="12.75" customHeight="1" x14ac:dyDescent="0.25">
      <c r="D86" s="52"/>
      <c r="E86" s="52"/>
      <c r="F86" s="52"/>
      <c r="G86" s="52"/>
      <c r="H86" s="52"/>
      <c r="I86" s="52"/>
      <c r="J86" s="52"/>
      <c r="K86" s="52"/>
      <c r="L86" s="52"/>
    </row>
    <row r="87" spans="4:12" ht="12.75" customHeight="1" x14ac:dyDescent="0.25">
      <c r="D87" s="52"/>
      <c r="E87" s="52"/>
      <c r="F87" s="52"/>
      <c r="G87" s="52"/>
      <c r="H87" s="52"/>
      <c r="I87" s="52"/>
      <c r="J87" s="52"/>
      <c r="K87" s="52"/>
      <c r="L87" s="52"/>
    </row>
    <row r="88" spans="4:12" ht="12.75" customHeight="1" x14ac:dyDescent="0.25">
      <c r="D88" s="52"/>
      <c r="E88" s="52"/>
      <c r="F88" s="52"/>
      <c r="G88" s="52"/>
      <c r="H88" s="52"/>
      <c r="I88" s="52"/>
      <c r="J88" s="52"/>
      <c r="K88" s="52"/>
      <c r="L88" s="52"/>
    </row>
    <row r="89" spans="4:12" ht="12.75" customHeight="1" x14ac:dyDescent="0.25">
      <c r="D89" s="52"/>
      <c r="E89" s="52"/>
      <c r="F89" s="52"/>
      <c r="G89" s="52"/>
      <c r="H89" s="52"/>
      <c r="I89" s="52"/>
      <c r="J89" s="52"/>
      <c r="K89" s="52"/>
      <c r="L89" s="52"/>
    </row>
    <row r="90" spans="4:12" ht="12.75" customHeight="1" x14ac:dyDescent="0.25">
      <c r="D90" s="52"/>
      <c r="E90" s="52"/>
      <c r="F90" s="52"/>
      <c r="G90" s="52"/>
      <c r="H90" s="52"/>
      <c r="I90" s="52"/>
      <c r="J90" s="52"/>
      <c r="K90" s="52"/>
      <c r="L90" s="52"/>
    </row>
    <row r="91" spans="4:12" ht="12.75" customHeight="1" x14ac:dyDescent="0.25">
      <c r="D91" s="52"/>
      <c r="E91" s="52"/>
      <c r="F91" s="52"/>
      <c r="G91" s="52"/>
      <c r="H91" s="52"/>
      <c r="I91" s="52"/>
      <c r="J91" s="52"/>
      <c r="K91" s="52"/>
      <c r="L91" s="52"/>
    </row>
    <row r="92" spans="4:12" ht="12.75" customHeight="1" x14ac:dyDescent="0.25">
      <c r="D92" s="52"/>
      <c r="E92" s="52"/>
      <c r="F92" s="52"/>
      <c r="G92" s="52"/>
      <c r="H92" s="52"/>
      <c r="I92" s="52"/>
      <c r="J92" s="52"/>
      <c r="K92" s="52"/>
      <c r="L92" s="52"/>
    </row>
    <row r="93" spans="4:12" ht="12.75" customHeight="1" x14ac:dyDescent="0.25">
      <c r="D93" s="52"/>
      <c r="E93" s="52"/>
      <c r="F93" s="52"/>
      <c r="G93" s="52"/>
      <c r="H93" s="52"/>
      <c r="I93" s="52"/>
      <c r="J93" s="52"/>
      <c r="K93" s="52"/>
      <c r="L93" s="52"/>
    </row>
    <row r="94" spans="4:12" ht="12.75" customHeight="1" x14ac:dyDescent="0.25">
      <c r="D94" s="52"/>
      <c r="E94" s="52"/>
      <c r="F94" s="52"/>
      <c r="G94" s="52"/>
      <c r="H94" s="52"/>
      <c r="I94" s="52"/>
      <c r="J94" s="52"/>
      <c r="K94" s="52"/>
      <c r="L94" s="52"/>
    </row>
    <row r="95" spans="4:12" ht="12.75" customHeight="1" x14ac:dyDescent="0.25">
      <c r="D95" s="52"/>
      <c r="E95" s="52"/>
      <c r="F95" s="52"/>
      <c r="G95" s="52"/>
      <c r="H95" s="52"/>
      <c r="I95" s="52"/>
      <c r="J95" s="52"/>
      <c r="K95" s="52"/>
      <c r="L95" s="52"/>
    </row>
    <row r="96" spans="4:12" ht="12.75" customHeight="1" x14ac:dyDescent="0.25">
      <c r="D96" s="52"/>
      <c r="E96" s="52"/>
      <c r="F96" s="52"/>
      <c r="G96" s="52"/>
      <c r="H96" s="52"/>
      <c r="I96" s="52"/>
      <c r="J96" s="52"/>
      <c r="K96" s="52"/>
      <c r="L96" s="52"/>
    </row>
    <row r="97" spans="4:12" ht="12.75" customHeight="1" x14ac:dyDescent="0.25">
      <c r="D97" s="52"/>
      <c r="E97" s="52"/>
      <c r="F97" s="52"/>
      <c r="G97" s="52"/>
      <c r="H97" s="52"/>
      <c r="I97" s="52"/>
      <c r="J97" s="52"/>
      <c r="K97" s="52"/>
      <c r="L97" s="52"/>
    </row>
    <row r="98" spans="4:12" ht="12.75" customHeight="1" x14ac:dyDescent="0.25">
      <c r="D98" s="52"/>
      <c r="E98" s="52"/>
      <c r="F98" s="52"/>
      <c r="G98" s="52"/>
      <c r="H98" s="52"/>
      <c r="I98" s="52"/>
      <c r="J98" s="52"/>
      <c r="K98" s="52"/>
      <c r="L98" s="52"/>
    </row>
    <row r="99" spans="4:12" ht="12.75" customHeight="1" x14ac:dyDescent="0.25">
      <c r="D99" s="52"/>
      <c r="E99" s="52"/>
      <c r="F99" s="52"/>
      <c r="G99" s="52"/>
      <c r="H99" s="52"/>
      <c r="I99" s="52"/>
      <c r="J99" s="52"/>
      <c r="K99" s="52"/>
      <c r="L99" s="52"/>
    </row>
  </sheetData>
  <sheetProtection sheet="1" objects="1" scenarios="1"/>
  <mergeCells count="13">
    <mergeCell ref="K3:K4"/>
    <mergeCell ref="L3:L4"/>
    <mergeCell ref="C2:C3"/>
    <mergeCell ref="F3:F4"/>
    <mergeCell ref="G3:G4"/>
    <mergeCell ref="H3:H4"/>
    <mergeCell ref="I3:I4"/>
    <mergeCell ref="G2:I2"/>
    <mergeCell ref="A2:A3"/>
    <mergeCell ref="B2:B3"/>
    <mergeCell ref="D3:D4"/>
    <mergeCell ref="E3:E4"/>
    <mergeCell ref="J3:J4"/>
  </mergeCells>
  <phoneticPr fontId="2" type="noConversion"/>
  <printOptions horizontalCentered="1"/>
  <pageMargins left="0.35433070866141736" right="0.15748031496062992" top="0.78740157480314965" bottom="0.59055118110236227" header="0.51181102362204722" footer="0.39370078740157483"/>
  <pageSetup paperSize="9" scale="7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3">
    <tabColor rgb="FFCCFFCC"/>
    <pageSetUpPr fitToPage="1"/>
  </sheetPr>
  <dimension ref="A1:O61"/>
  <sheetViews>
    <sheetView showGridLines="0" workbookViewId="0">
      <pane xSplit="2" ySplit="4" topLeftCell="C5" activePane="bottomRight" state="frozen"/>
      <selection activeCell="G21" sqref="G21"/>
      <selection pane="topRight" activeCell="G21" sqref="G21"/>
      <selection pane="bottomLeft" activeCell="G21" sqref="G21"/>
      <selection pane="bottomRight" activeCell="A5" sqref="A5"/>
    </sheetView>
  </sheetViews>
  <sheetFormatPr defaultRowHeight="12.75" x14ac:dyDescent="0.25"/>
  <cols>
    <col min="1" max="1" width="30.7109375" style="20" customWidth="1"/>
    <col min="2" max="2" width="3.140625" style="43" customWidth="1"/>
    <col min="3" max="5" width="15.7109375" style="20" customWidth="1"/>
    <col min="6" max="9" width="8.7109375" style="20" customWidth="1"/>
    <col min="10" max="10" width="9.85546875" style="20" customWidth="1"/>
    <col min="11" max="11" width="9.85546875" style="20" bestFit="1" customWidth="1"/>
    <col min="12" max="13" width="9.85546875" style="20" customWidth="1"/>
    <col min="14" max="14" width="9.5703125" style="20" customWidth="1"/>
    <col min="15" max="15" width="9.85546875" style="20" customWidth="1"/>
    <col min="16" max="18" width="9.5703125" style="20" customWidth="1"/>
    <col min="19" max="19" width="9.85546875" style="20" customWidth="1"/>
    <col min="20" max="22" width="9.5703125" style="20" customWidth="1"/>
    <col min="23" max="24" width="9.85546875" style="20" customWidth="1"/>
    <col min="25" max="16384" width="9.140625" style="20"/>
  </cols>
  <sheetData>
    <row r="1" spans="1:9" ht="13.5" x14ac:dyDescent="0.25">
      <c r="A1" s="113" t="str">
        <f>_MEB5</f>
        <v>Greater Tzaneen Economic Development Agency (GTEDA) - Supporting Table SD3 Budgeted Investment Portfolio</v>
      </c>
    </row>
    <row r="2" spans="1:9" x14ac:dyDescent="0.25">
      <c r="A2" s="641" t="s">
        <v>412</v>
      </c>
      <c r="B2" s="623" t="str">
        <f>head27</f>
        <v>Ref</v>
      </c>
      <c r="C2" s="99" t="str">
        <f>Head9</f>
        <v>Budget Year 2016/17</v>
      </c>
      <c r="D2" s="99"/>
      <c r="E2" s="99"/>
      <c r="F2" s="99"/>
      <c r="G2" s="99"/>
      <c r="H2" s="99"/>
      <c r="I2" s="100"/>
    </row>
    <row r="3" spans="1:9" x14ac:dyDescent="0.25">
      <c r="A3" s="622"/>
      <c r="B3" s="624"/>
      <c r="C3" s="200" t="s">
        <v>346</v>
      </c>
      <c r="D3" s="627" t="s">
        <v>347</v>
      </c>
      <c r="E3" s="636" t="s">
        <v>166</v>
      </c>
      <c r="F3" s="198" t="s">
        <v>397</v>
      </c>
      <c r="G3" s="199"/>
      <c r="H3" s="198" t="s">
        <v>400</v>
      </c>
      <c r="I3" s="199"/>
    </row>
    <row r="4" spans="1:9" ht="25.5" x14ac:dyDescent="0.25">
      <c r="A4" s="153" t="s">
        <v>225</v>
      </c>
      <c r="B4" s="142"/>
      <c r="C4" s="196" t="s">
        <v>350</v>
      </c>
      <c r="D4" s="628"/>
      <c r="E4" s="637"/>
      <c r="F4" s="164" t="s">
        <v>398</v>
      </c>
      <c r="G4" s="197" t="s">
        <v>399</v>
      </c>
      <c r="H4" s="157" t="s">
        <v>401</v>
      </c>
      <c r="I4" s="197" t="s">
        <v>348</v>
      </c>
    </row>
    <row r="5" spans="1:9" ht="12.75" customHeight="1" x14ac:dyDescent="0.25">
      <c r="A5" s="314"/>
      <c r="B5" s="334"/>
      <c r="C5" s="309"/>
      <c r="D5" s="315"/>
      <c r="E5" s="316"/>
      <c r="F5" s="284"/>
      <c r="G5" s="283"/>
      <c r="H5" s="284"/>
      <c r="I5" s="283"/>
    </row>
    <row r="6" spans="1:9" ht="12.75" customHeight="1" x14ac:dyDescent="0.25">
      <c r="A6" s="314"/>
      <c r="B6" s="334"/>
      <c r="C6" s="309"/>
      <c r="D6" s="315"/>
      <c r="E6" s="316"/>
      <c r="F6" s="284"/>
      <c r="G6" s="283"/>
      <c r="H6" s="284"/>
      <c r="I6" s="283"/>
    </row>
    <row r="7" spans="1:9" ht="12.75" customHeight="1" x14ac:dyDescent="0.25">
      <c r="A7" s="314"/>
      <c r="B7" s="334"/>
      <c r="C7" s="309"/>
      <c r="D7" s="315"/>
      <c r="E7" s="316"/>
      <c r="F7" s="284"/>
      <c r="G7" s="283"/>
      <c r="H7" s="284"/>
      <c r="I7" s="283"/>
    </row>
    <row r="8" spans="1:9" ht="12.75" customHeight="1" x14ac:dyDescent="0.25">
      <c r="A8" s="314"/>
      <c r="B8" s="334"/>
      <c r="C8" s="309"/>
      <c r="D8" s="315"/>
      <c r="E8" s="316"/>
      <c r="F8" s="284"/>
      <c r="G8" s="283"/>
      <c r="H8" s="284"/>
      <c r="I8" s="283"/>
    </row>
    <row r="9" spans="1:9" ht="12.75" customHeight="1" x14ac:dyDescent="0.25">
      <c r="A9" s="314"/>
      <c r="B9" s="334"/>
      <c r="C9" s="309"/>
      <c r="D9" s="315"/>
      <c r="E9" s="316"/>
      <c r="F9" s="284"/>
      <c r="G9" s="283"/>
      <c r="H9" s="284"/>
      <c r="I9" s="283"/>
    </row>
    <row r="10" spans="1:9" ht="12.75" customHeight="1" x14ac:dyDescent="0.25">
      <c r="A10" s="314"/>
      <c r="B10" s="334"/>
      <c r="C10" s="309"/>
      <c r="D10" s="315"/>
      <c r="E10" s="316"/>
      <c r="F10" s="284"/>
      <c r="G10" s="283"/>
      <c r="H10" s="284"/>
      <c r="I10" s="283"/>
    </row>
    <row r="11" spans="1:9" ht="12.75" customHeight="1" x14ac:dyDescent="0.25">
      <c r="A11" s="314"/>
      <c r="B11" s="334"/>
      <c r="C11" s="309"/>
      <c r="D11" s="315"/>
      <c r="E11" s="316"/>
      <c r="F11" s="284"/>
      <c r="G11" s="283"/>
      <c r="H11" s="284"/>
      <c r="I11" s="283"/>
    </row>
    <row r="12" spans="1:9" ht="12.75" customHeight="1" x14ac:dyDescent="0.25">
      <c r="A12" s="314"/>
      <c r="B12" s="334"/>
      <c r="C12" s="309"/>
      <c r="D12" s="315"/>
      <c r="E12" s="316"/>
      <c r="F12" s="284"/>
      <c r="G12" s="283"/>
      <c r="H12" s="284"/>
      <c r="I12" s="283"/>
    </row>
    <row r="13" spans="1:9" ht="12.75" customHeight="1" x14ac:dyDescent="0.25">
      <c r="A13" s="314"/>
      <c r="B13" s="334"/>
      <c r="C13" s="309"/>
      <c r="D13" s="315"/>
      <c r="E13" s="316"/>
      <c r="F13" s="284"/>
      <c r="G13" s="283"/>
      <c r="H13" s="284"/>
      <c r="I13" s="283"/>
    </row>
    <row r="14" spans="1:9" ht="12.75" customHeight="1" x14ac:dyDescent="0.25">
      <c r="A14" s="314"/>
      <c r="B14" s="334"/>
      <c r="C14" s="309"/>
      <c r="D14" s="315"/>
      <c r="E14" s="316"/>
      <c r="F14" s="284"/>
      <c r="G14" s="283"/>
      <c r="H14" s="284"/>
      <c r="I14" s="283"/>
    </row>
    <row r="15" spans="1:9" ht="12.75" customHeight="1" x14ac:dyDescent="0.25">
      <c r="A15" s="314"/>
      <c r="B15" s="334"/>
      <c r="C15" s="309"/>
      <c r="D15" s="315"/>
      <c r="E15" s="316"/>
      <c r="F15" s="284"/>
      <c r="G15" s="283"/>
      <c r="H15" s="284"/>
      <c r="I15" s="283"/>
    </row>
    <row r="16" spans="1:9" ht="12.75" customHeight="1" x14ac:dyDescent="0.25">
      <c r="A16" s="314"/>
      <c r="B16" s="334"/>
      <c r="C16" s="309"/>
      <c r="D16" s="315"/>
      <c r="E16" s="316"/>
      <c r="F16" s="284"/>
      <c r="G16" s="283"/>
      <c r="H16" s="284"/>
      <c r="I16" s="283"/>
    </row>
    <row r="17" spans="1:15" ht="12.75" customHeight="1" x14ac:dyDescent="0.25">
      <c r="A17" s="314"/>
      <c r="B17" s="334"/>
      <c r="C17" s="309"/>
      <c r="D17" s="315"/>
      <c r="E17" s="316"/>
      <c r="F17" s="284"/>
      <c r="G17" s="283"/>
      <c r="H17" s="284"/>
      <c r="I17" s="283"/>
    </row>
    <row r="18" spans="1:15" ht="12.75" customHeight="1" x14ac:dyDescent="0.25">
      <c r="A18" s="314"/>
      <c r="B18" s="334"/>
      <c r="C18" s="309"/>
      <c r="D18" s="315"/>
      <c r="E18" s="316"/>
      <c r="F18" s="284"/>
      <c r="G18" s="283"/>
      <c r="H18" s="284"/>
      <c r="I18" s="283"/>
    </row>
    <row r="19" spans="1:15" ht="12.75" customHeight="1" x14ac:dyDescent="0.25">
      <c r="A19" s="314"/>
      <c r="B19" s="334"/>
      <c r="C19" s="309"/>
      <c r="D19" s="315"/>
      <c r="E19" s="316"/>
      <c r="F19" s="284"/>
      <c r="G19" s="283"/>
      <c r="H19" s="284"/>
      <c r="I19" s="283"/>
    </row>
    <row r="20" spans="1:15" ht="12.75" customHeight="1" x14ac:dyDescent="0.25">
      <c r="A20" s="314"/>
      <c r="B20" s="334"/>
      <c r="C20" s="309"/>
      <c r="D20" s="315"/>
      <c r="E20" s="316"/>
      <c r="F20" s="284"/>
      <c r="G20" s="283"/>
      <c r="H20" s="284"/>
      <c r="I20" s="283"/>
    </row>
    <row r="21" spans="1:15" ht="12.75" customHeight="1" x14ac:dyDescent="0.25">
      <c r="A21" s="314"/>
      <c r="B21" s="334"/>
      <c r="C21" s="309"/>
      <c r="D21" s="315"/>
      <c r="E21" s="316"/>
      <c r="F21" s="284"/>
      <c r="G21" s="283"/>
      <c r="H21" s="284"/>
      <c r="I21" s="283"/>
    </row>
    <row r="22" spans="1:15" ht="12.75" customHeight="1" x14ac:dyDescent="0.25">
      <c r="A22" s="314"/>
      <c r="B22" s="334"/>
      <c r="C22" s="309"/>
      <c r="D22" s="315"/>
      <c r="E22" s="316"/>
      <c r="F22" s="284"/>
      <c r="G22" s="283"/>
      <c r="H22" s="284"/>
      <c r="I22" s="283"/>
    </row>
    <row r="23" spans="1:15" ht="12.75" customHeight="1" x14ac:dyDescent="0.25">
      <c r="A23" s="314"/>
      <c r="B23" s="334"/>
      <c r="C23" s="309"/>
      <c r="D23" s="315"/>
      <c r="E23" s="316"/>
      <c r="F23" s="284"/>
      <c r="G23" s="283"/>
      <c r="H23" s="284"/>
      <c r="I23" s="283"/>
    </row>
    <row r="24" spans="1:15" ht="12.75" customHeight="1" x14ac:dyDescent="0.25">
      <c r="A24" s="32"/>
      <c r="B24" s="136">
        <v>1</v>
      </c>
      <c r="C24" s="606"/>
      <c r="D24" s="607"/>
      <c r="E24" s="608"/>
      <c r="F24" s="34">
        <f>SUM(F5:F23)</f>
        <v>0</v>
      </c>
      <c r="G24" s="135">
        <f>SUM(G5:G23)</f>
        <v>0</v>
      </c>
      <c r="H24" s="34">
        <f>SUM(H5:H23)</f>
        <v>0</v>
      </c>
      <c r="I24" s="614"/>
    </row>
    <row r="25" spans="1:15" ht="12.75" customHeight="1" x14ac:dyDescent="0.25">
      <c r="A25" s="35" t="str">
        <f>head27a</f>
        <v>References</v>
      </c>
      <c r="B25" s="36"/>
      <c r="C25" s="52"/>
      <c r="D25" s="52"/>
      <c r="E25" s="52"/>
      <c r="F25" s="52"/>
      <c r="G25" s="52"/>
      <c r="H25" s="52"/>
      <c r="I25" s="52"/>
      <c r="M25" s="42"/>
      <c r="N25" s="42"/>
      <c r="O25" s="42"/>
    </row>
    <row r="26" spans="1:15" ht="12.75" customHeight="1" x14ac:dyDescent="0.25">
      <c r="A26" s="47" t="s">
        <v>480</v>
      </c>
      <c r="B26" s="36"/>
      <c r="C26" s="39"/>
      <c r="D26" s="38"/>
      <c r="E26" s="39"/>
      <c r="F26" s="39"/>
      <c r="G26" s="39"/>
      <c r="H26" s="39"/>
      <c r="I26" s="39"/>
    </row>
    <row r="27" spans="1:15" ht="11.25" customHeight="1" x14ac:dyDescent="0.25">
      <c r="A27" s="49"/>
      <c r="B27" s="36"/>
      <c r="C27" s="52"/>
      <c r="D27" s="52"/>
      <c r="E27" s="52"/>
      <c r="F27" s="52"/>
      <c r="G27" s="52"/>
      <c r="H27" s="52"/>
      <c r="I27" s="52"/>
    </row>
    <row r="28" spans="1:15" ht="11.25" customHeight="1" x14ac:dyDescent="0.25"/>
    <row r="29" spans="1:15" ht="11.25" customHeight="1" x14ac:dyDescent="0.25"/>
    <row r="30" spans="1:15" ht="11.25" customHeight="1" x14ac:dyDescent="0.25"/>
    <row r="31" spans="1:15" ht="11.25" customHeight="1" x14ac:dyDescent="0.25"/>
    <row r="32" spans="1:15" ht="11.25" customHeight="1" x14ac:dyDescent="0.25"/>
    <row r="33" ht="11.25" customHeight="1" x14ac:dyDescent="0.25"/>
    <row r="34" ht="11.25" customHeight="1" x14ac:dyDescent="0.25"/>
    <row r="35" ht="11.25" customHeight="1" x14ac:dyDescent="0.25"/>
    <row r="36" ht="11.25" customHeight="1" x14ac:dyDescent="0.25"/>
    <row r="37" ht="11.25" customHeight="1" x14ac:dyDescent="0.25"/>
    <row r="38" ht="11.25" customHeight="1" x14ac:dyDescent="0.25"/>
    <row r="39" ht="11.25" customHeight="1" x14ac:dyDescent="0.25"/>
    <row r="40" ht="11.25" customHeight="1" x14ac:dyDescent="0.25"/>
    <row r="41" ht="11.25" customHeight="1" x14ac:dyDescent="0.25"/>
    <row r="42" ht="11.25" customHeight="1" x14ac:dyDescent="0.25"/>
    <row r="43" ht="11.25" customHeight="1" x14ac:dyDescent="0.25"/>
    <row r="44" ht="11.25" customHeight="1" x14ac:dyDescent="0.25"/>
    <row r="45" ht="11.25" customHeight="1" x14ac:dyDescent="0.25"/>
    <row r="46" ht="11.25" customHeight="1" x14ac:dyDescent="0.25"/>
    <row r="47" ht="11.25" customHeight="1" x14ac:dyDescent="0.25"/>
    <row r="48" ht="11.25" customHeight="1" x14ac:dyDescent="0.25"/>
    <row r="49" ht="11.25" customHeight="1" x14ac:dyDescent="0.25"/>
    <row r="50" ht="11.25" customHeight="1" x14ac:dyDescent="0.25"/>
    <row r="51" ht="11.25" customHeight="1" x14ac:dyDescent="0.25"/>
    <row r="52" ht="11.25" customHeight="1" x14ac:dyDescent="0.25"/>
    <row r="53" ht="11.25" customHeight="1" x14ac:dyDescent="0.25"/>
    <row r="54" ht="11.25" customHeight="1" x14ac:dyDescent="0.25"/>
    <row r="55" ht="11.25" customHeight="1" x14ac:dyDescent="0.25"/>
    <row r="56" ht="11.25" customHeight="1" x14ac:dyDescent="0.25"/>
    <row r="57" ht="11.25" customHeight="1" x14ac:dyDescent="0.25"/>
    <row r="58" ht="11.25" customHeight="1" x14ac:dyDescent="0.25"/>
    <row r="59" ht="11.25" customHeight="1" x14ac:dyDescent="0.25"/>
    <row r="60" ht="11.25" customHeight="1" x14ac:dyDescent="0.25"/>
    <row r="61" ht="11.25" customHeight="1" x14ac:dyDescent="0.25"/>
  </sheetData>
  <sheetProtection sheet="1" objects="1" scenarios="1"/>
  <mergeCells count="4">
    <mergeCell ref="E3:E4"/>
    <mergeCell ref="D3:D4"/>
    <mergeCell ref="A2:A3"/>
    <mergeCell ref="B2:B3"/>
  </mergeCells>
  <phoneticPr fontId="2" type="noConversion"/>
  <printOptions horizontalCentered="1"/>
  <pageMargins left="0.35" right="0.17" top="0.78" bottom="0.62" header="0.51181102362204722" footer="0.39"/>
  <pageSetup paperSize="9" scale="87"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4">
    <tabColor rgb="FFCCFFCC"/>
    <pageSetUpPr fitToPage="1"/>
  </sheetPr>
  <dimension ref="A1:M136"/>
  <sheetViews>
    <sheetView showGridLines="0" workbookViewId="0">
      <pane xSplit="2" ySplit="5" topLeftCell="C42" activePane="bottomRight" state="frozen"/>
      <selection activeCell="G21" sqref="G21"/>
      <selection pane="topRight" activeCell="G21" sqref="G21"/>
      <selection pane="bottomLeft" activeCell="G21" sqref="G21"/>
      <selection pane="bottomRight" activeCell="G17" sqref="G17"/>
    </sheetView>
  </sheetViews>
  <sheetFormatPr defaultRowHeight="12.75" x14ac:dyDescent="0.25"/>
  <cols>
    <col min="1" max="1" width="37.7109375" style="20" customWidth="1"/>
    <col min="2" max="2" width="3.140625" style="43" customWidth="1"/>
    <col min="3" max="11" width="8.7109375" style="20" customWidth="1"/>
    <col min="12" max="12" width="29.42578125" style="20" bestFit="1" customWidth="1"/>
    <col min="13" max="13" width="9.5703125" style="20" customWidth="1"/>
    <col min="14" max="14" width="9.85546875" style="20" customWidth="1"/>
    <col min="15" max="17" width="9.5703125" style="20" customWidth="1"/>
    <col min="18" max="19" width="9.85546875" style="20" customWidth="1"/>
    <col min="20" max="16384" width="9.140625" style="20"/>
  </cols>
  <sheetData>
    <row r="1" spans="1:11" ht="13.5" x14ac:dyDescent="0.25">
      <c r="A1" s="113" t="str">
        <f>MEB5a</f>
        <v>Greater Tzaneen Economic Development Agency (GTEDA) - Supporting Table SD4 Board member allowances and staff benefits</v>
      </c>
    </row>
    <row r="2" spans="1:11" ht="25.5" x14ac:dyDescent="0.25">
      <c r="A2" s="642" t="s">
        <v>402</v>
      </c>
      <c r="B2" s="623" t="str">
        <f>head27</f>
        <v>Ref</v>
      </c>
      <c r="C2" s="109" t="str">
        <f>head1b</f>
        <v>2012/13</v>
      </c>
      <c r="D2" s="21" t="str">
        <f>head1A</f>
        <v>2013/14</v>
      </c>
      <c r="E2" s="103" t="str">
        <f>Head1</f>
        <v>2014/15</v>
      </c>
      <c r="F2" s="133" t="str">
        <f>Head2</f>
        <v>Current Year 2015/16</v>
      </c>
      <c r="G2" s="131"/>
      <c r="H2" s="132"/>
      <c r="I2" s="133" t="str">
        <f>Head3a</f>
        <v>Medium Term Revenue and Expenditure Framework</v>
      </c>
      <c r="J2" s="131"/>
      <c r="K2" s="132"/>
    </row>
    <row r="3" spans="1:11" x14ac:dyDescent="0.25">
      <c r="A3" s="643"/>
      <c r="B3" s="624"/>
      <c r="C3" s="625" t="str">
        <f>Head5</f>
        <v>Audited Outcome</v>
      </c>
      <c r="D3" s="627" t="str">
        <f>Head5</f>
        <v>Audited Outcome</v>
      </c>
      <c r="E3" s="636" t="str">
        <f>Head5</f>
        <v>Audited Outcome</v>
      </c>
      <c r="F3" s="632" t="str">
        <f>Head6</f>
        <v>Original Budget</v>
      </c>
      <c r="G3" s="634" t="str">
        <f>Head7</f>
        <v>Adjusted Budget</v>
      </c>
      <c r="H3" s="636" t="str">
        <f>Head8</f>
        <v>Full Year Forecast</v>
      </c>
      <c r="I3" s="632" t="str">
        <f>Head9</f>
        <v>Budget Year 2016/17</v>
      </c>
      <c r="J3" s="634" t="str">
        <f>Head10</f>
        <v>Budget Year +1 2017/18</v>
      </c>
      <c r="K3" s="636" t="str">
        <f>Head11</f>
        <v>Budget Year +2 2018/19</v>
      </c>
    </row>
    <row r="4" spans="1:11" x14ac:dyDescent="0.25">
      <c r="A4" s="643"/>
      <c r="B4" s="624"/>
      <c r="C4" s="626"/>
      <c r="D4" s="628"/>
      <c r="E4" s="637"/>
      <c r="F4" s="633"/>
      <c r="G4" s="635"/>
      <c r="H4" s="637"/>
      <c r="I4" s="644"/>
      <c r="J4" s="635"/>
      <c r="K4" s="637"/>
    </row>
    <row r="5" spans="1:11" x14ac:dyDescent="0.25">
      <c r="A5" s="153" t="s">
        <v>225</v>
      </c>
      <c r="B5" s="142"/>
      <c r="C5" s="201" t="s">
        <v>142</v>
      </c>
      <c r="D5" s="202" t="s">
        <v>99</v>
      </c>
      <c r="E5" s="203" t="s">
        <v>48</v>
      </c>
      <c r="F5" s="201" t="s">
        <v>164</v>
      </c>
      <c r="G5" s="202" t="s">
        <v>24</v>
      </c>
      <c r="H5" s="203" t="s">
        <v>25</v>
      </c>
      <c r="I5" s="201" t="s">
        <v>26</v>
      </c>
      <c r="J5" s="202" t="s">
        <v>167</v>
      </c>
      <c r="K5" s="203" t="s">
        <v>168</v>
      </c>
    </row>
    <row r="6" spans="1:11" ht="12.75" customHeight="1" x14ac:dyDescent="0.25">
      <c r="A6" s="22" t="s">
        <v>229</v>
      </c>
      <c r="B6" s="115"/>
      <c r="C6" s="28"/>
      <c r="D6" s="27"/>
      <c r="E6" s="106"/>
      <c r="F6" s="28"/>
      <c r="G6" s="27"/>
      <c r="H6" s="106"/>
      <c r="I6" s="28"/>
      <c r="J6" s="27"/>
      <c r="K6" s="106"/>
    </row>
    <row r="7" spans="1:11" ht="12.75" customHeight="1" x14ac:dyDescent="0.25">
      <c r="A7" s="55" t="s">
        <v>120</v>
      </c>
      <c r="B7" s="115"/>
      <c r="C7" s="28"/>
      <c r="D7" s="27"/>
      <c r="E7" s="106"/>
      <c r="F7" s="28"/>
      <c r="G7" s="27"/>
      <c r="H7" s="106"/>
      <c r="I7" s="28"/>
      <c r="J7" s="27"/>
      <c r="K7" s="106"/>
    </row>
    <row r="8" spans="1:11" ht="12.75" customHeight="1" x14ac:dyDescent="0.25">
      <c r="A8" s="24" t="s">
        <v>0</v>
      </c>
      <c r="B8" s="115"/>
      <c r="C8" s="284">
        <f>5759+352960+22911+102694</f>
        <v>484324</v>
      </c>
      <c r="D8" s="282">
        <f>311550+12732+137731</f>
        <v>462013</v>
      </c>
      <c r="E8" s="283">
        <v>753417</v>
      </c>
      <c r="F8" s="284">
        <f>[5]Sheet1!$G$17+[5]Sheet1!$G$24-2918000</f>
        <v>535816.48900000006</v>
      </c>
      <c r="G8" s="282">
        <f>[5]Sheet1!$I$17+[5]Sheet1!$I$24-2918000</f>
        <v>122878.42299999995</v>
      </c>
      <c r="H8" s="283">
        <v>450000</v>
      </c>
      <c r="I8" s="284">
        <f>[6]Sheet1!$I$32</f>
        <v>350000</v>
      </c>
      <c r="J8" s="282">
        <f>[6]Sheet1!$K$32</f>
        <v>318000</v>
      </c>
      <c r="K8" s="283">
        <f>[6]Sheet1!$M$32</f>
        <v>354000</v>
      </c>
    </row>
    <row r="9" spans="1:11" ht="12.75" customHeight="1" x14ac:dyDescent="0.25">
      <c r="A9" s="24" t="s">
        <v>1</v>
      </c>
      <c r="B9" s="115"/>
      <c r="C9" s="284"/>
      <c r="D9" s="282"/>
      <c r="E9" s="283"/>
      <c r="F9" s="284"/>
      <c r="G9" s="282"/>
      <c r="H9" s="283"/>
      <c r="I9" s="284"/>
      <c r="J9" s="282"/>
      <c r="K9" s="283"/>
    </row>
    <row r="10" spans="1:11" ht="12.75" customHeight="1" x14ac:dyDescent="0.25">
      <c r="A10" s="24" t="s">
        <v>2</v>
      </c>
      <c r="B10" s="115"/>
      <c r="C10" s="284"/>
      <c r="D10" s="282"/>
      <c r="E10" s="283"/>
      <c r="F10" s="284"/>
      <c r="G10" s="282"/>
      <c r="H10" s="283"/>
      <c r="I10" s="284"/>
      <c r="J10" s="282"/>
      <c r="K10" s="283"/>
    </row>
    <row r="11" spans="1:11" ht="12.75" customHeight="1" x14ac:dyDescent="0.25">
      <c r="A11" s="383" t="s">
        <v>621</v>
      </c>
      <c r="B11" s="115"/>
      <c r="C11" s="284"/>
      <c r="D11" s="282"/>
      <c r="E11" s="283"/>
      <c r="F11" s="284"/>
      <c r="G11" s="282"/>
      <c r="H11" s="283"/>
      <c r="I11" s="284"/>
      <c r="J11" s="282"/>
      <c r="K11" s="283"/>
    </row>
    <row r="12" spans="1:11" ht="12.75" customHeight="1" x14ac:dyDescent="0.25">
      <c r="A12" s="383" t="s">
        <v>653</v>
      </c>
      <c r="B12" s="115"/>
      <c r="C12" s="284"/>
      <c r="D12" s="282"/>
      <c r="E12" s="283"/>
      <c r="F12" s="284"/>
      <c r="G12" s="282"/>
      <c r="H12" s="283"/>
      <c r="I12" s="284"/>
      <c r="J12" s="282"/>
      <c r="K12" s="283"/>
    </row>
    <row r="13" spans="1:11" ht="12.75" customHeight="1" x14ac:dyDescent="0.25">
      <c r="A13" s="24" t="s">
        <v>232</v>
      </c>
      <c r="B13" s="115"/>
      <c r="C13" s="284"/>
      <c r="D13" s="282"/>
      <c r="E13" s="283"/>
      <c r="F13" s="284"/>
      <c r="G13" s="282"/>
      <c r="H13" s="283"/>
      <c r="I13" s="284"/>
      <c r="J13" s="282"/>
      <c r="K13" s="283"/>
    </row>
    <row r="14" spans="1:11" ht="12.75" customHeight="1" x14ac:dyDescent="0.25">
      <c r="A14" s="24" t="s">
        <v>652</v>
      </c>
      <c r="B14" s="115"/>
      <c r="C14" s="284"/>
      <c r="D14" s="282"/>
      <c r="E14" s="283"/>
      <c r="F14" s="284"/>
      <c r="G14" s="282"/>
      <c r="H14" s="283"/>
      <c r="I14" s="284"/>
      <c r="J14" s="282"/>
      <c r="K14" s="283"/>
    </row>
    <row r="15" spans="1:11" ht="12.75" customHeight="1" x14ac:dyDescent="0.25">
      <c r="A15" s="24" t="s">
        <v>231</v>
      </c>
      <c r="B15" s="115">
        <v>1</v>
      </c>
      <c r="C15" s="284"/>
      <c r="D15" s="282"/>
      <c r="E15" s="283"/>
      <c r="F15" s="284"/>
      <c r="G15" s="282"/>
      <c r="H15" s="283"/>
      <c r="I15" s="284"/>
      <c r="J15" s="282"/>
      <c r="K15" s="283"/>
    </row>
    <row r="16" spans="1:11" ht="12.75" customHeight="1" x14ac:dyDescent="0.25">
      <c r="A16" s="24" t="s">
        <v>121</v>
      </c>
      <c r="B16" s="115"/>
      <c r="C16" s="284"/>
      <c r="D16" s="282"/>
      <c r="E16" s="283"/>
      <c r="F16" s="284"/>
      <c r="G16" s="282"/>
      <c r="H16" s="283"/>
      <c r="I16" s="284"/>
      <c r="J16" s="282"/>
      <c r="K16" s="283"/>
    </row>
    <row r="17" spans="1:11" ht="12.75" customHeight="1" x14ac:dyDescent="0.25">
      <c r="A17" s="55" t="s">
        <v>317</v>
      </c>
      <c r="B17" s="115"/>
      <c r="C17" s="45">
        <f>SUM(C8:C16)</f>
        <v>484324</v>
      </c>
      <c r="D17" s="44">
        <f>SUM(D8:D16)</f>
        <v>462013</v>
      </c>
      <c r="E17" s="152">
        <f t="shared" ref="E17:K17" si="0">SUM(E8:E16)</f>
        <v>753417</v>
      </c>
      <c r="F17" s="45">
        <f t="shared" si="0"/>
        <v>535816.48900000006</v>
      </c>
      <c r="G17" s="44">
        <f t="shared" si="0"/>
        <v>122878.42299999995</v>
      </c>
      <c r="H17" s="107">
        <f t="shared" si="0"/>
        <v>450000</v>
      </c>
      <c r="I17" s="145">
        <f t="shared" si="0"/>
        <v>350000</v>
      </c>
      <c r="J17" s="44">
        <f t="shared" si="0"/>
        <v>318000</v>
      </c>
      <c r="K17" s="107">
        <f t="shared" si="0"/>
        <v>354000</v>
      </c>
    </row>
    <row r="18" spans="1:11" ht="12.75" customHeight="1" x14ac:dyDescent="0.25">
      <c r="A18" s="55" t="s">
        <v>282</v>
      </c>
      <c r="B18" s="115"/>
      <c r="C18" s="28"/>
      <c r="D18" s="30">
        <f>IF(D17=0,"",(D17/C17)-1)</f>
        <v>-4.6066269687234151E-2</v>
      </c>
      <c r="E18" s="65">
        <f>IF(E17=0,"",(E17/D17)-1)</f>
        <v>0.63072684101962495</v>
      </c>
      <c r="F18" s="31">
        <f>IF(F17=0,"",(F17/E17)-1)</f>
        <v>-0.28881815913365361</v>
      </c>
      <c r="G18" s="30">
        <f>IF(G17=0,"",(G17/E17)-1)</f>
        <v>-0.83690516274519955</v>
      </c>
      <c r="H18" s="126">
        <f>IF(H17=0,"",(H17/E17)-1)</f>
        <v>-0.40272120220276419</v>
      </c>
      <c r="I18" s="144">
        <f>IF(I17=0,"",(I17/H17)-1)</f>
        <v>-0.22222222222222221</v>
      </c>
      <c r="J18" s="65">
        <f>IF(J17=0,"",(J17/I17)-1)</f>
        <v>-9.1428571428571415E-2</v>
      </c>
      <c r="K18" s="156">
        <f>IF(K17=0,"",(K17/J17)-1)</f>
        <v>0.1132075471698113</v>
      </c>
    </row>
    <row r="19" spans="1:11" ht="5.0999999999999996" customHeight="1" x14ac:dyDescent="0.25">
      <c r="A19" s="25"/>
      <c r="B19" s="115"/>
      <c r="C19" s="28"/>
      <c r="D19" s="27"/>
      <c r="E19" s="106"/>
      <c r="F19" s="28"/>
      <c r="G19" s="27"/>
      <c r="H19" s="106"/>
      <c r="I19" s="28"/>
      <c r="J19" s="27"/>
      <c r="K19" s="106"/>
    </row>
    <row r="20" spans="1:11" ht="12.75" customHeight="1" x14ac:dyDescent="0.25">
      <c r="A20" s="55" t="s">
        <v>365</v>
      </c>
      <c r="B20" s="115"/>
      <c r="C20" s="28"/>
      <c r="D20" s="27"/>
      <c r="E20" s="106"/>
      <c r="F20" s="28"/>
      <c r="G20" s="27"/>
      <c r="H20" s="106"/>
      <c r="I20" s="28"/>
      <c r="J20" s="27"/>
      <c r="K20" s="106"/>
    </row>
    <row r="21" spans="1:11" ht="12.75" customHeight="1" x14ac:dyDescent="0.25">
      <c r="A21" s="24" t="s">
        <v>0</v>
      </c>
      <c r="B21" s="115"/>
      <c r="C21" s="284">
        <v>1521107</v>
      </c>
      <c r="D21" s="282">
        <v>1923571</v>
      </c>
      <c r="E21" s="283">
        <v>1546592</v>
      </c>
      <c r="F21" s="284">
        <v>2918000</v>
      </c>
      <c r="G21" s="282">
        <v>1318073.24</v>
      </c>
      <c r="H21" s="283">
        <v>1320000</v>
      </c>
      <c r="I21" s="284">
        <v>913786</v>
      </c>
      <c r="J21" s="282">
        <v>977751</v>
      </c>
      <c r="K21" s="283">
        <v>1046193.6</v>
      </c>
    </row>
    <row r="22" spans="1:11" ht="12.75" customHeight="1" x14ac:dyDescent="0.25">
      <c r="A22" s="24" t="s">
        <v>1</v>
      </c>
      <c r="B22" s="115"/>
      <c r="C22" s="284"/>
      <c r="D22" s="282"/>
      <c r="E22" s="283"/>
      <c r="F22" s="284"/>
      <c r="G22" s="282"/>
      <c r="H22" s="283"/>
      <c r="I22" s="284"/>
      <c r="J22" s="282"/>
      <c r="K22" s="283"/>
    </row>
    <row r="23" spans="1:11" ht="12.75" customHeight="1" x14ac:dyDescent="0.25">
      <c r="A23" s="24" t="s">
        <v>2</v>
      </c>
      <c r="B23" s="115"/>
      <c r="C23" s="284"/>
      <c r="D23" s="282"/>
      <c r="E23" s="283"/>
      <c r="F23" s="284"/>
      <c r="G23" s="282"/>
      <c r="H23" s="283"/>
      <c r="I23" s="284"/>
      <c r="J23" s="282"/>
      <c r="K23" s="283"/>
    </row>
    <row r="24" spans="1:11" ht="12.75" customHeight="1" x14ac:dyDescent="0.25">
      <c r="A24" s="383" t="s">
        <v>621</v>
      </c>
      <c r="B24" s="115"/>
      <c r="C24" s="284"/>
      <c r="D24" s="282"/>
      <c r="E24" s="283"/>
      <c r="F24" s="284"/>
      <c r="G24" s="282"/>
      <c r="H24" s="283"/>
      <c r="I24" s="284"/>
      <c r="J24" s="282"/>
      <c r="K24" s="283"/>
    </row>
    <row r="25" spans="1:11" ht="12.75" customHeight="1" x14ac:dyDescent="0.25">
      <c r="A25" s="383" t="s">
        <v>653</v>
      </c>
      <c r="B25" s="115"/>
      <c r="C25" s="284"/>
      <c r="D25" s="282"/>
      <c r="E25" s="283"/>
      <c r="F25" s="284"/>
      <c r="G25" s="282"/>
      <c r="H25" s="283"/>
      <c r="I25" s="284"/>
      <c r="J25" s="282"/>
      <c r="K25" s="283"/>
    </row>
    <row r="26" spans="1:11" ht="12.75" customHeight="1" x14ac:dyDescent="0.25">
      <c r="A26" s="24" t="s">
        <v>232</v>
      </c>
      <c r="B26" s="115"/>
      <c r="C26" s="284"/>
      <c r="D26" s="282"/>
      <c r="E26" s="283"/>
      <c r="F26" s="284"/>
      <c r="G26" s="282"/>
      <c r="H26" s="283"/>
      <c r="I26" s="284"/>
      <c r="J26" s="282"/>
      <c r="K26" s="283"/>
    </row>
    <row r="27" spans="1:11" ht="12.75" customHeight="1" x14ac:dyDescent="0.25">
      <c r="A27" s="24" t="s">
        <v>3</v>
      </c>
      <c r="B27" s="115"/>
      <c r="C27" s="284"/>
      <c r="D27" s="282"/>
      <c r="E27" s="283"/>
      <c r="F27" s="284"/>
      <c r="G27" s="282">
        <v>91378.65</v>
      </c>
      <c r="H27" s="283">
        <v>91000</v>
      </c>
      <c r="I27" s="284"/>
      <c r="J27" s="282"/>
      <c r="K27" s="283"/>
    </row>
    <row r="28" spans="1:11" ht="12.75" customHeight="1" x14ac:dyDescent="0.25">
      <c r="A28" s="24" t="s">
        <v>66</v>
      </c>
      <c r="B28" s="115"/>
      <c r="C28" s="284"/>
      <c r="D28" s="282"/>
      <c r="E28" s="283"/>
      <c r="F28" s="284"/>
      <c r="G28" s="282"/>
      <c r="H28" s="283"/>
      <c r="I28" s="284"/>
      <c r="J28" s="282"/>
      <c r="K28" s="283"/>
    </row>
    <row r="29" spans="1:11" ht="12.75" customHeight="1" x14ac:dyDescent="0.25">
      <c r="A29" s="24" t="str">
        <f>$A$15</f>
        <v>In-kind benefits</v>
      </c>
      <c r="B29" s="115">
        <v>1</v>
      </c>
      <c r="C29" s="284"/>
      <c r="D29" s="282"/>
      <c r="E29" s="283"/>
      <c r="F29" s="284"/>
      <c r="G29" s="282"/>
      <c r="H29" s="283"/>
      <c r="I29" s="284"/>
      <c r="J29" s="282"/>
      <c r="K29" s="283"/>
    </row>
    <row r="30" spans="1:11" ht="12.75" customHeight="1" x14ac:dyDescent="0.25">
      <c r="A30" s="55" t="s">
        <v>366</v>
      </c>
      <c r="B30" s="115"/>
      <c r="C30" s="45">
        <f>SUM(C21:C29)</f>
        <v>1521107</v>
      </c>
      <c r="D30" s="44">
        <f t="shared" ref="D30:K30" si="1">SUM(D21:D29)</f>
        <v>1923571</v>
      </c>
      <c r="E30" s="152">
        <f t="shared" si="1"/>
        <v>1546592</v>
      </c>
      <c r="F30" s="45">
        <f t="shared" si="1"/>
        <v>2918000</v>
      </c>
      <c r="G30" s="44">
        <f t="shared" si="1"/>
        <v>1409451.89</v>
      </c>
      <c r="H30" s="107">
        <f t="shared" si="1"/>
        <v>1411000</v>
      </c>
      <c r="I30" s="145">
        <f t="shared" si="1"/>
        <v>913786</v>
      </c>
      <c r="J30" s="44">
        <f t="shared" si="1"/>
        <v>977751</v>
      </c>
      <c r="K30" s="107">
        <f t="shared" si="1"/>
        <v>1046193.6</v>
      </c>
    </row>
    <row r="31" spans="1:11" ht="12.75" customHeight="1" x14ac:dyDescent="0.25">
      <c r="A31" s="55" t="s">
        <v>282</v>
      </c>
      <c r="B31" s="115"/>
      <c r="C31" s="28"/>
      <c r="D31" s="30">
        <f>IF(D30=0,"",(D30/C30)-1)</f>
        <v>0.26458625198621788</v>
      </c>
      <c r="E31" s="65">
        <f>IF(E30=0,"",(E30/D30)-1)</f>
        <v>-0.1959787291449081</v>
      </c>
      <c r="F31" s="31">
        <f>IF(F30=0,"",(F30/E30)-1)</f>
        <v>0.88672901450414843</v>
      </c>
      <c r="G31" s="30">
        <f>IF(G30=0,"",(G30/E30)-1)</f>
        <v>-8.8672455308187348E-2</v>
      </c>
      <c r="H31" s="126">
        <f>IF(H30=0,"",(H30/E30)-1)</f>
        <v>-8.7671473795286614E-2</v>
      </c>
      <c r="I31" s="144">
        <f>IF(I30=0,"",(I30/H30)-1)</f>
        <v>-0.35238412473423109</v>
      </c>
      <c r="J31" s="65">
        <f>IF(J30=0,"",(J30/I30)-1)</f>
        <v>6.9999978113037375E-2</v>
      </c>
      <c r="K31" s="156">
        <f>IF(K30=0,"",(K30/J30)-1)</f>
        <v>7.0000030682658476E-2</v>
      </c>
    </row>
    <row r="32" spans="1:11" ht="5.0999999999999996" customHeight="1" x14ac:dyDescent="0.25">
      <c r="A32" s="42"/>
      <c r="B32" s="115"/>
      <c r="C32" s="28"/>
      <c r="D32" s="27"/>
      <c r="E32" s="106"/>
      <c r="F32" s="28"/>
      <c r="G32" s="27"/>
      <c r="H32" s="106"/>
      <c r="I32" s="28"/>
      <c r="J32" s="27"/>
      <c r="K32" s="106"/>
    </row>
    <row r="33" spans="1:11" ht="12.75" customHeight="1" x14ac:dyDescent="0.25">
      <c r="A33" s="55" t="s">
        <v>277</v>
      </c>
      <c r="B33" s="115"/>
      <c r="C33" s="28"/>
      <c r="D33" s="27"/>
      <c r="E33" s="106"/>
      <c r="F33" s="28"/>
      <c r="G33" s="27"/>
      <c r="H33" s="106"/>
      <c r="I33" s="28"/>
      <c r="J33" s="27"/>
      <c r="K33" s="106"/>
    </row>
    <row r="34" spans="1:11" ht="12.75" customHeight="1" x14ac:dyDescent="0.25">
      <c r="A34" s="24" t="s">
        <v>0</v>
      </c>
      <c r="B34" s="115"/>
      <c r="C34" s="284"/>
      <c r="D34" s="282"/>
      <c r="E34" s="283"/>
      <c r="F34" s="284"/>
      <c r="G34" s="282">
        <f>1229751.89+40892.13</f>
        <v>1270644.0199999998</v>
      </c>
      <c r="H34" s="283">
        <v>1273000</v>
      </c>
      <c r="I34" s="284">
        <f>'D2-FinPerf'!I25-I21-I40</f>
        <v>2526487.65</v>
      </c>
      <c r="J34" s="282">
        <f>'D2-FinPerf'!J25-J21-J35-J36-J40</f>
        <v>2424792.69</v>
      </c>
      <c r="K34" s="283">
        <f>'D2-FinPerf'!K25-K21-K35-K36-K40</f>
        <v>2581740.59</v>
      </c>
    </row>
    <row r="35" spans="1:11" ht="12.75" customHeight="1" x14ac:dyDescent="0.25">
      <c r="A35" s="24" t="s">
        <v>1</v>
      </c>
      <c r="B35" s="115"/>
      <c r="C35" s="284"/>
      <c r="D35" s="282"/>
      <c r="E35" s="283"/>
      <c r="F35" s="284"/>
      <c r="G35" s="282"/>
      <c r="H35" s="283"/>
      <c r="I35" s="284"/>
      <c r="J35" s="282">
        <v>120231</v>
      </c>
      <c r="K35" s="283">
        <v>147858</v>
      </c>
    </row>
    <row r="36" spans="1:11" ht="12.75" customHeight="1" x14ac:dyDescent="0.25">
      <c r="A36" s="24" t="s">
        <v>2</v>
      </c>
      <c r="B36" s="115"/>
      <c r="C36" s="284"/>
      <c r="D36" s="282"/>
      <c r="E36" s="283"/>
      <c r="F36" s="284"/>
      <c r="G36" s="282"/>
      <c r="H36" s="283"/>
      <c r="I36" s="284"/>
      <c r="J36" s="282">
        <v>137407</v>
      </c>
      <c r="K36" s="283">
        <v>147025</v>
      </c>
    </row>
    <row r="37" spans="1:11" ht="12.75" customHeight="1" x14ac:dyDescent="0.25">
      <c r="A37" s="383" t="s">
        <v>621</v>
      </c>
      <c r="B37" s="115"/>
      <c r="C37" s="284"/>
      <c r="D37" s="282"/>
      <c r="E37" s="283"/>
      <c r="F37" s="284"/>
      <c r="G37" s="282"/>
      <c r="H37" s="283"/>
      <c r="I37" s="284"/>
      <c r="J37" s="282"/>
      <c r="K37" s="283"/>
    </row>
    <row r="38" spans="1:11" ht="12.75" customHeight="1" x14ac:dyDescent="0.25">
      <c r="A38" s="383" t="s">
        <v>653</v>
      </c>
      <c r="B38" s="115"/>
      <c r="C38" s="284"/>
      <c r="D38" s="282"/>
      <c r="E38" s="283"/>
      <c r="F38" s="284"/>
      <c r="G38" s="282"/>
      <c r="H38" s="283"/>
      <c r="I38" s="284"/>
      <c r="J38" s="282"/>
      <c r="K38" s="283"/>
    </row>
    <row r="39" spans="1:11" ht="12.75" customHeight="1" x14ac:dyDescent="0.25">
      <c r="A39" s="24" t="s">
        <v>232</v>
      </c>
      <c r="B39" s="115"/>
      <c r="C39" s="284"/>
      <c r="D39" s="282"/>
      <c r="E39" s="283"/>
      <c r="F39" s="284"/>
      <c r="G39" s="282"/>
      <c r="H39" s="283"/>
      <c r="I39" s="284"/>
      <c r="J39" s="282"/>
      <c r="K39" s="283"/>
    </row>
    <row r="40" spans="1:11" ht="12.75" customHeight="1" x14ac:dyDescent="0.25">
      <c r="A40" s="24" t="s">
        <v>106</v>
      </c>
      <c r="B40" s="115"/>
      <c r="C40" s="284"/>
      <c r="D40" s="282"/>
      <c r="E40" s="283"/>
      <c r="F40" s="284"/>
      <c r="G40" s="282">
        <v>25000</v>
      </c>
      <c r="H40" s="283">
        <v>20000</v>
      </c>
      <c r="I40" s="284">
        <v>25000</v>
      </c>
      <c r="J40" s="282">
        <v>55000</v>
      </c>
      <c r="K40" s="283">
        <v>60500</v>
      </c>
    </row>
    <row r="41" spans="1:11" ht="12.75" customHeight="1" x14ac:dyDescent="0.25">
      <c r="A41" s="24" t="s">
        <v>3</v>
      </c>
      <c r="B41" s="115"/>
      <c r="C41" s="284"/>
      <c r="D41" s="282"/>
      <c r="E41" s="283"/>
      <c r="F41" s="284"/>
      <c r="G41" s="282">
        <v>254782.51</v>
      </c>
      <c r="H41" s="283">
        <v>100500</v>
      </c>
      <c r="I41" s="284"/>
      <c r="J41" s="282"/>
      <c r="K41" s="283"/>
    </row>
    <row r="42" spans="1:11" ht="12.75" customHeight="1" x14ac:dyDescent="0.25">
      <c r="A42" s="24" t="s">
        <v>66</v>
      </c>
      <c r="B42" s="115"/>
      <c r="C42" s="284"/>
      <c r="D42" s="282"/>
      <c r="E42" s="283"/>
      <c r="F42" s="284"/>
      <c r="G42" s="282"/>
      <c r="H42" s="283"/>
      <c r="I42" s="284"/>
      <c r="J42" s="282"/>
      <c r="K42" s="283"/>
    </row>
    <row r="43" spans="1:11" ht="12.75" customHeight="1" x14ac:dyDescent="0.25">
      <c r="A43" s="24" t="str">
        <f>$A$15</f>
        <v>In-kind benefits</v>
      </c>
      <c r="B43" s="115">
        <v>1</v>
      </c>
      <c r="C43" s="284"/>
      <c r="D43" s="282"/>
      <c r="E43" s="283"/>
      <c r="F43" s="284"/>
      <c r="G43" s="282"/>
      <c r="H43" s="283"/>
      <c r="I43" s="284"/>
      <c r="J43" s="282"/>
      <c r="K43" s="283"/>
    </row>
    <row r="44" spans="1:11" ht="12.75" customHeight="1" x14ac:dyDescent="0.25">
      <c r="A44" s="55" t="s">
        <v>86</v>
      </c>
      <c r="B44" s="115"/>
      <c r="C44" s="45">
        <f>SUM(C34:C43)</f>
        <v>0</v>
      </c>
      <c r="D44" s="44">
        <f t="shared" ref="D44:K44" si="2">SUM(D34:D43)</f>
        <v>0</v>
      </c>
      <c r="E44" s="152">
        <f t="shared" si="2"/>
        <v>0</v>
      </c>
      <c r="F44" s="45">
        <f t="shared" si="2"/>
        <v>0</v>
      </c>
      <c r="G44" s="44">
        <f t="shared" si="2"/>
        <v>1550426.5299999998</v>
      </c>
      <c r="H44" s="107">
        <f t="shared" si="2"/>
        <v>1393500</v>
      </c>
      <c r="I44" s="145">
        <f t="shared" si="2"/>
        <v>2551487.65</v>
      </c>
      <c r="J44" s="44">
        <f t="shared" si="2"/>
        <v>2737430.69</v>
      </c>
      <c r="K44" s="107">
        <f t="shared" si="2"/>
        <v>2937123.59</v>
      </c>
    </row>
    <row r="45" spans="1:11" ht="12.75" customHeight="1" x14ac:dyDescent="0.25">
      <c r="A45" s="55" t="s">
        <v>282</v>
      </c>
      <c r="B45" s="115"/>
      <c r="C45" s="28"/>
      <c r="D45" s="30" t="str">
        <f>IF(D44=0,"",(D44/C44)-1)</f>
        <v/>
      </c>
      <c r="E45" s="65" t="str">
        <f>IF(E44=0,"",(E44/D44)-1)</f>
        <v/>
      </c>
      <c r="F45" s="31" t="str">
        <f>IF(F44=0,"",(F44/E44)-1)</f>
        <v/>
      </c>
      <c r="G45" s="30" t="e">
        <f>IF(G44=0,"",(G44/E44)-1)</f>
        <v>#DIV/0!</v>
      </c>
      <c r="H45" s="126" t="e">
        <f>IF(H44=0,"",(H44/E44)-1)</f>
        <v>#DIV/0!</v>
      </c>
      <c r="I45" s="144">
        <f>IF(I44=0,"",(I44/H44)-1)</f>
        <v>0.83099221385001787</v>
      </c>
      <c r="J45" s="65">
        <f>IF(J44=0,"",(J44/I44)-1)</f>
        <v>7.2876323739995419E-2</v>
      </c>
      <c r="K45" s="156">
        <f>IF(K44=0,"",(K44/J44)-1)</f>
        <v>7.2949025058238082E-2</v>
      </c>
    </row>
    <row r="46" spans="1:11" ht="5.0999999999999996" customHeight="1" x14ac:dyDescent="0.25">
      <c r="A46" s="25"/>
      <c r="B46" s="115"/>
      <c r="C46" s="28"/>
      <c r="D46" s="27"/>
      <c r="E46" s="106"/>
      <c r="F46" s="28"/>
      <c r="G46" s="27"/>
      <c r="H46" s="106"/>
      <c r="I46" s="28"/>
      <c r="J46" s="27"/>
      <c r="K46" s="106"/>
    </row>
    <row r="47" spans="1:11" ht="12.75" customHeight="1" x14ac:dyDescent="0.25">
      <c r="A47" s="456" t="s">
        <v>469</v>
      </c>
      <c r="B47" s="411"/>
      <c r="C47" s="225">
        <f>C17+C30+C44</f>
        <v>2005431</v>
      </c>
      <c r="D47" s="226">
        <f t="shared" ref="D47:K47" si="3">D17+D30+D44</f>
        <v>2385584</v>
      </c>
      <c r="E47" s="457">
        <f t="shared" si="3"/>
        <v>2300009</v>
      </c>
      <c r="F47" s="225">
        <f t="shared" si="3"/>
        <v>3453816.4890000001</v>
      </c>
      <c r="G47" s="226">
        <f t="shared" si="3"/>
        <v>3082756.8429999994</v>
      </c>
      <c r="H47" s="227">
        <f t="shared" si="3"/>
        <v>3254500</v>
      </c>
      <c r="I47" s="458">
        <f t="shared" si="3"/>
        <v>3815273.65</v>
      </c>
      <c r="J47" s="226">
        <f t="shared" si="3"/>
        <v>4033181.69</v>
      </c>
      <c r="K47" s="227">
        <f t="shared" si="3"/>
        <v>4337317.1899999995</v>
      </c>
    </row>
    <row r="48" spans="1:11" ht="5.0999999999999996" customHeight="1" x14ac:dyDescent="0.25">
      <c r="A48" s="459"/>
      <c r="B48" s="460"/>
      <c r="C48" s="461"/>
      <c r="D48" s="461"/>
      <c r="E48" s="461"/>
      <c r="F48" s="461"/>
      <c r="G48" s="461"/>
      <c r="H48" s="461"/>
      <c r="I48" s="461"/>
      <c r="J48" s="461"/>
      <c r="K48" s="461"/>
    </row>
    <row r="49" spans="1:13" ht="12.75" customHeight="1" x14ac:dyDescent="0.25">
      <c r="A49" s="35" t="str">
        <f>head27a</f>
        <v>References</v>
      </c>
      <c r="B49" s="36"/>
      <c r="C49" s="29"/>
      <c r="D49" s="29"/>
      <c r="E49" s="29"/>
      <c r="F49" s="29"/>
      <c r="G49" s="29"/>
      <c r="H49" s="29"/>
      <c r="I49" s="29"/>
      <c r="J49" s="29"/>
      <c r="K49" s="29"/>
    </row>
    <row r="50" spans="1:13" ht="12.75" customHeight="1" x14ac:dyDescent="0.25">
      <c r="A50" s="47" t="s">
        <v>143</v>
      </c>
      <c r="B50" s="36"/>
      <c r="C50" s="29"/>
      <c r="D50" s="29"/>
      <c r="E50" s="29"/>
      <c r="F50" s="29"/>
      <c r="G50" s="29"/>
      <c r="H50" s="29"/>
      <c r="I50" s="29"/>
      <c r="J50" s="29"/>
      <c r="K50" s="29"/>
    </row>
    <row r="51" spans="1:13" ht="12.75" customHeight="1" x14ac:dyDescent="0.25">
      <c r="A51" s="35" t="s">
        <v>163</v>
      </c>
      <c r="B51" s="36"/>
      <c r="C51" s="42"/>
      <c r="D51" s="42"/>
      <c r="E51" s="42"/>
      <c r="F51" s="42"/>
      <c r="G51" s="42"/>
      <c r="H51" s="42"/>
      <c r="I51" s="42"/>
      <c r="J51" s="42"/>
      <c r="K51" s="42"/>
    </row>
    <row r="52" spans="1:13" ht="12.75" customHeight="1" x14ac:dyDescent="0.25">
      <c r="A52" s="47" t="s">
        <v>471</v>
      </c>
      <c r="B52" s="36"/>
      <c r="C52" s="42"/>
      <c r="D52" s="42"/>
      <c r="E52" s="42"/>
      <c r="F52" s="42"/>
      <c r="G52" s="42"/>
      <c r="H52" s="42"/>
      <c r="I52" s="42"/>
      <c r="J52" s="42"/>
      <c r="K52" s="42"/>
    </row>
    <row r="53" spans="1:13" ht="12.75" customHeight="1" x14ac:dyDescent="0.25">
      <c r="A53" s="47" t="s">
        <v>472</v>
      </c>
      <c r="B53" s="36"/>
      <c r="C53" s="42"/>
      <c r="D53" s="42"/>
      <c r="E53" s="42"/>
      <c r="F53" s="42"/>
      <c r="G53" s="42"/>
      <c r="H53" s="42"/>
      <c r="I53" s="42"/>
      <c r="J53" s="42"/>
      <c r="K53" s="42"/>
    </row>
    <row r="54" spans="1:13" ht="12.75" customHeight="1" x14ac:dyDescent="0.25">
      <c r="A54" s="47" t="s">
        <v>473</v>
      </c>
      <c r="B54" s="36"/>
      <c r="C54" s="42"/>
      <c r="D54" s="42"/>
      <c r="E54" s="42"/>
      <c r="F54" s="42"/>
      <c r="G54" s="42"/>
      <c r="H54" s="42"/>
      <c r="I54" s="42"/>
      <c r="J54" s="42"/>
      <c r="K54" s="42"/>
    </row>
    <row r="55" spans="1:13" ht="12.75" customHeight="1" x14ac:dyDescent="0.25">
      <c r="A55" s="47" t="s">
        <v>474</v>
      </c>
      <c r="B55" s="36"/>
      <c r="C55" s="42"/>
      <c r="D55" s="42"/>
      <c r="E55" s="42"/>
      <c r="F55" s="42"/>
      <c r="G55" s="42"/>
      <c r="H55" s="42"/>
      <c r="I55" s="42"/>
      <c r="J55" s="42"/>
      <c r="K55" s="42"/>
    </row>
    <row r="56" spans="1:13" ht="12.75" customHeight="1" x14ac:dyDescent="0.25">
      <c r="A56" s="47" t="s">
        <v>477</v>
      </c>
      <c r="B56" s="36"/>
      <c r="C56" s="42"/>
      <c r="D56" s="42"/>
      <c r="E56" s="42"/>
      <c r="F56" s="42"/>
      <c r="G56" s="42"/>
      <c r="H56" s="42"/>
      <c r="I56" s="42"/>
      <c r="J56" s="42"/>
      <c r="K56" s="42"/>
    </row>
    <row r="57" spans="1:13" ht="12.75" customHeight="1" x14ac:dyDescent="0.25">
      <c r="A57" s="47" t="s">
        <v>476</v>
      </c>
      <c r="B57" s="36"/>
      <c r="C57" s="42"/>
      <c r="D57" s="42"/>
      <c r="E57" s="42"/>
      <c r="F57" s="42"/>
      <c r="G57" s="42"/>
      <c r="H57" s="42"/>
      <c r="I57" s="42"/>
      <c r="J57" s="42"/>
      <c r="K57" s="42"/>
      <c r="M57" s="53"/>
    </row>
    <row r="58" spans="1:13" ht="12.75" customHeight="1" x14ac:dyDescent="0.25">
      <c r="A58" s="47" t="s">
        <v>475</v>
      </c>
      <c r="B58" s="36"/>
      <c r="C58" s="42"/>
      <c r="D58" s="42"/>
      <c r="E58" s="42"/>
      <c r="F58" s="42"/>
      <c r="G58" s="42"/>
      <c r="H58" s="42"/>
      <c r="I58" s="42"/>
      <c r="J58" s="42"/>
      <c r="K58" s="42"/>
    </row>
    <row r="59" spans="1:13" ht="12.75" customHeight="1" x14ac:dyDescent="0.25">
      <c r="A59" s="47" t="s">
        <v>478</v>
      </c>
      <c r="B59" s="36"/>
      <c r="C59" s="42"/>
      <c r="D59" s="42"/>
      <c r="E59" s="42"/>
      <c r="F59" s="42"/>
      <c r="G59" s="42"/>
      <c r="H59" s="42"/>
      <c r="I59" s="42"/>
      <c r="J59" s="42"/>
      <c r="K59" s="42"/>
    </row>
    <row r="60" spans="1:13" ht="12.75" customHeight="1" x14ac:dyDescent="0.25">
      <c r="A60" s="47" t="s">
        <v>479</v>
      </c>
      <c r="B60" s="36"/>
      <c r="C60" s="42"/>
      <c r="D60" s="42"/>
      <c r="E60" s="42"/>
      <c r="F60" s="42"/>
      <c r="G60" s="42"/>
      <c r="H60" s="42"/>
      <c r="I60" s="42"/>
      <c r="J60" s="42"/>
      <c r="K60" s="42"/>
    </row>
    <row r="62" spans="1:13" x14ac:dyDescent="0.25">
      <c r="B62" s="20"/>
    </row>
    <row r="63" spans="1:13" x14ac:dyDescent="0.25">
      <c r="B63" s="20"/>
    </row>
    <row r="64" spans="1:13" x14ac:dyDescent="0.25">
      <c r="B64" s="20"/>
    </row>
    <row r="65" spans="2:2" x14ac:dyDescent="0.25">
      <c r="B65" s="20"/>
    </row>
    <row r="66" spans="2:2" x14ac:dyDescent="0.25">
      <c r="B66" s="20"/>
    </row>
    <row r="67" spans="2:2" x14ac:dyDescent="0.25">
      <c r="B67" s="20"/>
    </row>
    <row r="68" spans="2:2" x14ac:dyDescent="0.25">
      <c r="B68" s="20"/>
    </row>
    <row r="69" spans="2:2" x14ac:dyDescent="0.25">
      <c r="B69" s="20"/>
    </row>
    <row r="70" spans="2:2" x14ac:dyDescent="0.25">
      <c r="B70" s="20"/>
    </row>
    <row r="71" spans="2:2" x14ac:dyDescent="0.25">
      <c r="B71" s="20"/>
    </row>
    <row r="72" spans="2:2" x14ac:dyDescent="0.25">
      <c r="B72" s="20"/>
    </row>
    <row r="73" spans="2:2" x14ac:dyDescent="0.25">
      <c r="B73" s="20"/>
    </row>
    <row r="74" spans="2:2" x14ac:dyDescent="0.25">
      <c r="B74" s="20"/>
    </row>
    <row r="75" spans="2:2" x14ac:dyDescent="0.25">
      <c r="B75" s="20"/>
    </row>
    <row r="76" spans="2:2" x14ac:dyDescent="0.25">
      <c r="B76" s="20"/>
    </row>
    <row r="77" spans="2:2" x14ac:dyDescent="0.25">
      <c r="B77" s="20"/>
    </row>
    <row r="78" spans="2:2" x14ac:dyDescent="0.25">
      <c r="B78" s="20"/>
    </row>
    <row r="79" spans="2:2" x14ac:dyDescent="0.25">
      <c r="B79" s="20"/>
    </row>
    <row r="80" spans="2:2" x14ac:dyDescent="0.25">
      <c r="B80" s="20"/>
    </row>
    <row r="81" spans="2:2" x14ac:dyDescent="0.25">
      <c r="B81" s="20"/>
    </row>
    <row r="82" spans="2:2" x14ac:dyDescent="0.25">
      <c r="B82" s="20"/>
    </row>
    <row r="83" spans="2:2" x14ac:dyDescent="0.25">
      <c r="B83" s="20"/>
    </row>
    <row r="84" spans="2:2" x14ac:dyDescent="0.25">
      <c r="B84" s="20"/>
    </row>
    <row r="85" spans="2:2" x14ac:dyDescent="0.25">
      <c r="B85" s="20"/>
    </row>
    <row r="86" spans="2:2" x14ac:dyDescent="0.25">
      <c r="B86" s="20"/>
    </row>
    <row r="87" spans="2:2" x14ac:dyDescent="0.25">
      <c r="B87" s="20"/>
    </row>
    <row r="88" spans="2:2" x14ac:dyDescent="0.25">
      <c r="B88" s="20"/>
    </row>
    <row r="89" spans="2:2" x14ac:dyDescent="0.25">
      <c r="B89" s="20"/>
    </row>
    <row r="90" spans="2:2" x14ac:dyDescent="0.25">
      <c r="B90" s="20"/>
    </row>
    <row r="91" spans="2:2" x14ac:dyDescent="0.25">
      <c r="B91" s="20"/>
    </row>
    <row r="92" spans="2:2" x14ac:dyDescent="0.25">
      <c r="B92" s="20"/>
    </row>
    <row r="93" spans="2:2" x14ac:dyDescent="0.25">
      <c r="B93" s="20"/>
    </row>
    <row r="94" spans="2:2" x14ac:dyDescent="0.25">
      <c r="B94" s="20"/>
    </row>
    <row r="95" spans="2:2" x14ac:dyDescent="0.25">
      <c r="B95" s="20"/>
    </row>
    <row r="96" spans="2:2" x14ac:dyDescent="0.25">
      <c r="B96" s="20"/>
    </row>
    <row r="97" spans="2:2" x14ac:dyDescent="0.25">
      <c r="B97" s="20"/>
    </row>
    <row r="98" spans="2:2" x14ac:dyDescent="0.25">
      <c r="B98" s="20"/>
    </row>
    <row r="99" spans="2:2" x14ac:dyDescent="0.25">
      <c r="B99" s="20"/>
    </row>
    <row r="100" spans="2:2" x14ac:dyDescent="0.25">
      <c r="B100" s="20"/>
    </row>
    <row r="101" spans="2:2" x14ac:dyDescent="0.25">
      <c r="B101" s="20"/>
    </row>
    <row r="102" spans="2:2" x14ac:dyDescent="0.25">
      <c r="B102" s="20"/>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20"/>
    </row>
    <row r="114" spans="2:2" x14ac:dyDescent="0.25">
      <c r="B114" s="20"/>
    </row>
    <row r="115" spans="2:2" x14ac:dyDescent="0.25">
      <c r="B115" s="20"/>
    </row>
    <row r="116" spans="2:2" x14ac:dyDescent="0.25">
      <c r="B116" s="20"/>
    </row>
    <row r="117" spans="2:2" x14ac:dyDescent="0.25">
      <c r="B117" s="20"/>
    </row>
    <row r="118" spans="2:2" x14ac:dyDescent="0.25">
      <c r="B118" s="20"/>
    </row>
    <row r="119" spans="2:2" x14ac:dyDescent="0.25">
      <c r="B119" s="20"/>
    </row>
    <row r="120" spans="2:2" x14ac:dyDescent="0.25">
      <c r="B120" s="20"/>
    </row>
    <row r="121" spans="2:2" x14ac:dyDescent="0.25">
      <c r="B121" s="20"/>
    </row>
    <row r="122" spans="2:2" x14ac:dyDescent="0.25">
      <c r="B122" s="20"/>
    </row>
    <row r="123" spans="2:2" x14ac:dyDescent="0.25">
      <c r="B123" s="20"/>
    </row>
    <row r="124" spans="2:2" x14ac:dyDescent="0.25">
      <c r="B124" s="20"/>
    </row>
    <row r="125" spans="2:2" x14ac:dyDescent="0.25">
      <c r="B125" s="20"/>
    </row>
    <row r="126" spans="2:2" x14ac:dyDescent="0.25">
      <c r="B126" s="20"/>
    </row>
    <row r="127" spans="2:2" x14ac:dyDescent="0.25">
      <c r="B127" s="20"/>
    </row>
    <row r="128" spans="2:2" x14ac:dyDescent="0.25">
      <c r="B128" s="20"/>
    </row>
    <row r="129" spans="2:2" x14ac:dyDescent="0.25">
      <c r="B129" s="20"/>
    </row>
    <row r="130" spans="2:2" x14ac:dyDescent="0.25">
      <c r="B130" s="20"/>
    </row>
    <row r="131" spans="2:2" x14ac:dyDescent="0.25">
      <c r="B131" s="20"/>
    </row>
    <row r="132" spans="2:2" x14ac:dyDescent="0.25">
      <c r="B132" s="20"/>
    </row>
    <row r="133" spans="2:2" x14ac:dyDescent="0.25">
      <c r="B133" s="20"/>
    </row>
    <row r="134" spans="2:2" x14ac:dyDescent="0.25">
      <c r="B134" s="20"/>
    </row>
    <row r="135" spans="2:2" x14ac:dyDescent="0.25">
      <c r="B135" s="20"/>
    </row>
    <row r="136" spans="2:2" x14ac:dyDescent="0.25">
      <c r="B136" s="20"/>
    </row>
  </sheetData>
  <sheetProtection sheet="1" objects="1" scenarios="1"/>
  <mergeCells count="11">
    <mergeCell ref="A2:A4"/>
    <mergeCell ref="B2:B4"/>
    <mergeCell ref="I3:I4"/>
    <mergeCell ref="J3:J4"/>
    <mergeCell ref="K3:K4"/>
    <mergeCell ref="E3:E4"/>
    <mergeCell ref="F3:F4"/>
    <mergeCell ref="G3:G4"/>
    <mergeCell ref="H3:H4"/>
    <mergeCell ref="C3:C4"/>
    <mergeCell ref="D3:D4"/>
  </mergeCells>
  <phoneticPr fontId="2" type="noConversion"/>
  <printOptions horizontalCentered="1"/>
  <pageMargins left="0.35433070866141736" right="0.15748031496062992" top="0.78740157480314965" bottom="0.59055118110236227" header="0.51181102362204722" footer="0.51181102362204722"/>
  <pageSetup paperSize="9" scale="8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CCFFCC"/>
  </sheetPr>
  <dimension ref="A1:K50"/>
  <sheetViews>
    <sheetView showGridLines="0" workbookViewId="0">
      <pane xSplit="2" ySplit="3" topLeftCell="C4" activePane="bottomRight" state="frozen"/>
      <selection pane="topRight" activeCell="C1" sqref="C1"/>
      <selection pane="bottomLeft" activeCell="A4" sqref="A4"/>
      <selection pane="bottomRight" activeCell="J29" sqref="J29"/>
    </sheetView>
  </sheetViews>
  <sheetFormatPr defaultRowHeight="12.75" x14ac:dyDescent="0.25"/>
  <cols>
    <col min="1" max="1" width="37.7109375" style="20" customWidth="1"/>
    <col min="2" max="2" width="3" style="43" customWidth="1"/>
    <col min="3" max="11" width="8.7109375" style="20" customWidth="1"/>
    <col min="12" max="12" width="9.85546875" style="20" customWidth="1"/>
    <col min="13" max="13" width="9.5703125" style="20" customWidth="1"/>
    <col min="14" max="14" width="9.85546875" style="20" customWidth="1"/>
    <col min="15" max="17" width="9.5703125" style="20" customWidth="1"/>
    <col min="18" max="18" width="9.85546875" style="20" customWidth="1"/>
    <col min="19" max="21" width="9.5703125" style="20" customWidth="1"/>
    <col min="22" max="23" width="9.85546875" style="20" customWidth="1"/>
    <col min="24" max="16384" width="9.140625" style="20"/>
  </cols>
  <sheetData>
    <row r="1" spans="1:11" ht="13.5" customHeight="1" x14ac:dyDescent="0.25">
      <c r="A1" s="462" t="str">
        <f>MEB5b</f>
        <v>Greater Tzaneen Economic Development Agency (GTEDA) - Supporting Table SD5 Summary of personnel numbers</v>
      </c>
      <c r="B1" s="462"/>
      <c r="C1" s="462"/>
      <c r="D1" s="462"/>
      <c r="E1" s="462"/>
      <c r="F1" s="462"/>
      <c r="G1" s="462"/>
      <c r="H1" s="462"/>
      <c r="I1" s="462"/>
      <c r="J1" s="462"/>
      <c r="K1" s="462"/>
    </row>
    <row r="2" spans="1:11" ht="28.5" customHeight="1" x14ac:dyDescent="0.25">
      <c r="A2" s="463" t="s">
        <v>622</v>
      </c>
      <c r="B2" s="464" t="str">
        <f>head27</f>
        <v>Ref</v>
      </c>
      <c r="C2" s="645" t="str">
        <f>Head1</f>
        <v>2014/15</v>
      </c>
      <c r="D2" s="638"/>
      <c r="E2" s="639"/>
      <c r="F2" s="646" t="str">
        <f>Head2</f>
        <v>Current Year 2015/16</v>
      </c>
      <c r="G2" s="647"/>
      <c r="H2" s="648"/>
      <c r="I2" s="629" t="str">
        <f>Head9</f>
        <v>Budget Year 2016/17</v>
      </c>
      <c r="J2" s="630"/>
      <c r="K2" s="631"/>
    </row>
    <row r="3" spans="1:11" ht="25.5" x14ac:dyDescent="0.25">
      <c r="A3" s="536" t="s">
        <v>623</v>
      </c>
      <c r="B3" s="465">
        <v>1</v>
      </c>
      <c r="C3" s="466" t="s">
        <v>624</v>
      </c>
      <c r="D3" s="467" t="s">
        <v>269</v>
      </c>
      <c r="E3" s="468" t="s">
        <v>625</v>
      </c>
      <c r="F3" s="466" t="s">
        <v>624</v>
      </c>
      <c r="G3" s="467" t="s">
        <v>269</v>
      </c>
      <c r="H3" s="468" t="s">
        <v>625</v>
      </c>
      <c r="I3" s="466" t="s">
        <v>624</v>
      </c>
      <c r="J3" s="467" t="s">
        <v>269</v>
      </c>
      <c r="K3" s="468" t="s">
        <v>625</v>
      </c>
    </row>
    <row r="4" spans="1:11" x14ac:dyDescent="0.25">
      <c r="A4" s="469" t="s">
        <v>626</v>
      </c>
      <c r="B4" s="415"/>
      <c r="C4" s="470"/>
      <c r="D4" s="470"/>
      <c r="E4" s="471"/>
      <c r="F4" s="472"/>
      <c r="G4" s="470"/>
      <c r="H4" s="473"/>
      <c r="I4" s="474"/>
      <c r="J4" s="470"/>
      <c r="K4" s="471"/>
    </row>
    <row r="5" spans="1:11" ht="11.25" customHeight="1" x14ac:dyDescent="0.25">
      <c r="A5" s="383" t="s">
        <v>627</v>
      </c>
      <c r="B5" s="415"/>
      <c r="C5" s="475"/>
      <c r="D5" s="475"/>
      <c r="E5" s="476"/>
      <c r="F5" s="477"/>
      <c r="G5" s="475"/>
      <c r="H5" s="478"/>
      <c r="I5" s="479"/>
      <c r="J5" s="475"/>
      <c r="K5" s="476"/>
    </row>
    <row r="6" spans="1:11" ht="11.25" customHeight="1" x14ac:dyDescent="0.25">
      <c r="A6" s="382" t="s">
        <v>628</v>
      </c>
      <c r="B6" s="415">
        <v>3</v>
      </c>
      <c r="C6" s="475"/>
      <c r="D6" s="475"/>
      <c r="E6" s="476"/>
      <c r="F6" s="477"/>
      <c r="G6" s="475"/>
      <c r="H6" s="478"/>
      <c r="I6" s="479"/>
      <c r="J6" s="475"/>
      <c r="K6" s="476"/>
    </row>
    <row r="7" spans="1:11" ht="11.25" customHeight="1" x14ac:dyDescent="0.25">
      <c r="A7" s="469" t="s">
        <v>989</v>
      </c>
      <c r="B7" s="415">
        <v>4</v>
      </c>
      <c r="C7" s="475"/>
      <c r="D7" s="475"/>
      <c r="E7" s="476"/>
      <c r="F7" s="477"/>
      <c r="G7" s="475"/>
      <c r="H7" s="478"/>
      <c r="I7" s="479"/>
      <c r="J7" s="475"/>
      <c r="K7" s="476"/>
    </row>
    <row r="8" spans="1:11" ht="11.25" customHeight="1" x14ac:dyDescent="0.25">
      <c r="A8" s="382" t="s">
        <v>990</v>
      </c>
      <c r="B8" s="415">
        <v>2</v>
      </c>
      <c r="C8" s="475"/>
      <c r="D8" s="475"/>
      <c r="E8" s="476"/>
      <c r="F8" s="477" t="s">
        <v>1018</v>
      </c>
      <c r="G8" s="475"/>
      <c r="H8" s="478">
        <v>1</v>
      </c>
      <c r="I8" s="479" t="s">
        <v>1018</v>
      </c>
      <c r="J8" s="475"/>
      <c r="K8" s="476">
        <v>1</v>
      </c>
    </row>
    <row r="9" spans="1:11" ht="11.25" customHeight="1" x14ac:dyDescent="0.25">
      <c r="A9" s="382" t="s">
        <v>169</v>
      </c>
      <c r="B9" s="415">
        <v>6</v>
      </c>
      <c r="C9" s="475"/>
      <c r="D9" s="475"/>
      <c r="E9" s="476"/>
      <c r="F9" s="477" t="s">
        <v>1019</v>
      </c>
      <c r="G9" s="475">
        <v>2</v>
      </c>
      <c r="H9" s="478"/>
      <c r="I9" s="479" t="s">
        <v>1019</v>
      </c>
      <c r="J9" s="475">
        <v>2</v>
      </c>
      <c r="K9" s="476"/>
    </row>
    <row r="10" spans="1:11" ht="11.25" customHeight="1" x14ac:dyDescent="0.25">
      <c r="A10" s="382" t="s">
        <v>629</v>
      </c>
      <c r="B10" s="415"/>
      <c r="C10" s="480">
        <f>SUM(C11:C18)</f>
        <v>0</v>
      </c>
      <c r="D10" s="480">
        <f>SUM(D11:D18)</f>
        <v>0</v>
      </c>
      <c r="E10" s="481">
        <f t="shared" ref="E10:K10" si="0">SUM(E11:E18)</f>
        <v>0</v>
      </c>
      <c r="F10" s="482">
        <f t="shared" si="0"/>
        <v>0</v>
      </c>
      <c r="G10" s="480">
        <f t="shared" si="0"/>
        <v>0</v>
      </c>
      <c r="H10" s="483">
        <f t="shared" si="0"/>
        <v>0</v>
      </c>
      <c r="I10" s="484">
        <f t="shared" si="0"/>
        <v>0</v>
      </c>
      <c r="J10" s="480">
        <f t="shared" si="0"/>
        <v>0</v>
      </c>
      <c r="K10" s="481">
        <f t="shared" si="0"/>
        <v>0</v>
      </c>
    </row>
    <row r="11" spans="1:11" ht="11.25" customHeight="1" x14ac:dyDescent="0.25">
      <c r="A11" s="549" t="s">
        <v>270</v>
      </c>
      <c r="B11" s="415"/>
      <c r="C11" s="475"/>
      <c r="D11" s="475"/>
      <c r="E11" s="476"/>
      <c r="F11" s="477"/>
      <c r="G11" s="475"/>
      <c r="H11" s="478"/>
      <c r="I11" s="479"/>
      <c r="J11" s="475"/>
      <c r="K11" s="476"/>
    </row>
    <row r="12" spans="1:11" ht="11.25" customHeight="1" x14ac:dyDescent="0.25">
      <c r="A12" s="549" t="s">
        <v>630</v>
      </c>
      <c r="B12" s="415"/>
      <c r="C12" s="475"/>
      <c r="D12" s="475"/>
      <c r="E12" s="476"/>
      <c r="F12" s="477"/>
      <c r="G12" s="475"/>
      <c r="H12" s="478"/>
      <c r="I12" s="479"/>
      <c r="J12" s="475"/>
      <c r="K12" s="476"/>
    </row>
    <row r="13" spans="1:11" ht="11.25" customHeight="1" x14ac:dyDescent="0.25">
      <c r="A13" s="549" t="s">
        <v>304</v>
      </c>
      <c r="B13" s="415"/>
      <c r="C13" s="475"/>
      <c r="D13" s="475"/>
      <c r="E13" s="476"/>
      <c r="F13" s="477"/>
      <c r="G13" s="475"/>
      <c r="H13" s="478"/>
      <c r="I13" s="479"/>
      <c r="J13" s="475"/>
      <c r="K13" s="476"/>
    </row>
    <row r="14" spans="1:11" ht="11.25" customHeight="1" x14ac:dyDescent="0.25">
      <c r="A14" s="549" t="s">
        <v>631</v>
      </c>
      <c r="B14" s="415"/>
      <c r="C14" s="475"/>
      <c r="D14" s="475"/>
      <c r="E14" s="476"/>
      <c r="F14" s="477"/>
      <c r="G14" s="475"/>
      <c r="H14" s="478"/>
      <c r="I14" s="479"/>
      <c r="J14" s="475"/>
      <c r="K14" s="476"/>
    </row>
    <row r="15" spans="1:11" ht="11.25" customHeight="1" x14ac:dyDescent="0.25">
      <c r="A15" s="549" t="s">
        <v>179</v>
      </c>
      <c r="B15" s="415"/>
      <c r="C15" s="475"/>
      <c r="D15" s="475"/>
      <c r="E15" s="476"/>
      <c r="F15" s="477"/>
      <c r="G15" s="475"/>
      <c r="H15" s="478"/>
      <c r="I15" s="479"/>
      <c r="J15" s="475"/>
      <c r="K15" s="476"/>
    </row>
    <row r="16" spans="1:11" ht="11.25" customHeight="1" x14ac:dyDescent="0.25">
      <c r="A16" s="549" t="s">
        <v>5</v>
      </c>
      <c r="B16" s="415"/>
      <c r="C16" s="475"/>
      <c r="D16" s="475"/>
      <c r="E16" s="476"/>
      <c r="F16" s="477"/>
      <c r="G16" s="475"/>
      <c r="H16" s="478"/>
      <c r="I16" s="479"/>
      <c r="J16" s="475"/>
      <c r="K16" s="476"/>
    </row>
    <row r="17" spans="1:11" ht="11.25" customHeight="1" x14ac:dyDescent="0.25">
      <c r="A17" s="549" t="s">
        <v>6</v>
      </c>
      <c r="B17" s="415"/>
      <c r="C17" s="475"/>
      <c r="D17" s="475"/>
      <c r="E17" s="476"/>
      <c r="F17" s="477"/>
      <c r="G17" s="475"/>
      <c r="H17" s="478"/>
      <c r="I17" s="479"/>
      <c r="J17" s="475"/>
      <c r="K17" s="476"/>
    </row>
    <row r="18" spans="1:11" ht="11.25" customHeight="1" x14ac:dyDescent="0.25">
      <c r="A18" s="549" t="s">
        <v>119</v>
      </c>
      <c r="B18" s="415"/>
      <c r="C18" s="475"/>
      <c r="D18" s="475"/>
      <c r="E18" s="476"/>
      <c r="F18" s="477"/>
      <c r="G18" s="475"/>
      <c r="H18" s="478"/>
      <c r="I18" s="479"/>
      <c r="J18" s="475"/>
      <c r="K18" s="476"/>
    </row>
    <row r="19" spans="1:11" ht="11.25" customHeight="1" x14ac:dyDescent="0.25">
      <c r="A19" s="549" t="s">
        <v>279</v>
      </c>
      <c r="B19" s="415"/>
      <c r="C19" s="475"/>
      <c r="D19" s="475"/>
      <c r="E19" s="476"/>
      <c r="F19" s="477"/>
      <c r="G19" s="475"/>
      <c r="H19" s="478"/>
      <c r="I19" s="479"/>
      <c r="J19" s="475"/>
      <c r="K19" s="476"/>
    </row>
    <row r="20" spans="1:11" ht="11.25" customHeight="1" x14ac:dyDescent="0.25">
      <c r="A20" s="382" t="s">
        <v>632</v>
      </c>
      <c r="B20" s="415"/>
      <c r="C20" s="480">
        <f>SUM(C21:C28)</f>
        <v>0</v>
      </c>
      <c r="D20" s="480">
        <f>SUM(D21:D28)</f>
        <v>0</v>
      </c>
      <c r="E20" s="481">
        <f t="shared" ref="E20:K20" si="1">SUM(E21:E28)</f>
        <v>0</v>
      </c>
      <c r="F20" s="482">
        <f t="shared" si="1"/>
        <v>0</v>
      </c>
      <c r="G20" s="480">
        <f t="shared" si="1"/>
        <v>0</v>
      </c>
      <c r="H20" s="483">
        <f t="shared" si="1"/>
        <v>0</v>
      </c>
      <c r="I20" s="484">
        <f t="shared" si="1"/>
        <v>0</v>
      </c>
      <c r="J20" s="480">
        <f t="shared" si="1"/>
        <v>0</v>
      </c>
      <c r="K20" s="481">
        <f t="shared" si="1"/>
        <v>0</v>
      </c>
    </row>
    <row r="21" spans="1:11" ht="11.25" customHeight="1" x14ac:dyDescent="0.25">
      <c r="A21" s="549" t="s">
        <v>270</v>
      </c>
      <c r="B21" s="415"/>
      <c r="C21" s="475"/>
      <c r="D21" s="475"/>
      <c r="E21" s="476"/>
      <c r="F21" s="477"/>
      <c r="G21" s="475"/>
      <c r="H21" s="478"/>
      <c r="I21" s="479"/>
      <c r="J21" s="475"/>
      <c r="K21" s="476"/>
    </row>
    <row r="22" spans="1:11" ht="11.25" customHeight="1" x14ac:dyDescent="0.25">
      <c r="A22" s="549" t="s">
        <v>630</v>
      </c>
      <c r="B22" s="415"/>
      <c r="C22" s="475"/>
      <c r="D22" s="475"/>
      <c r="E22" s="476"/>
      <c r="F22" s="477"/>
      <c r="G22" s="475"/>
      <c r="H22" s="478"/>
      <c r="I22" s="479"/>
      <c r="J22" s="475"/>
      <c r="K22" s="476"/>
    </row>
    <row r="23" spans="1:11" ht="11.25" customHeight="1" x14ac:dyDescent="0.25">
      <c r="A23" s="549" t="s">
        <v>304</v>
      </c>
      <c r="B23" s="415"/>
      <c r="C23" s="475"/>
      <c r="D23" s="475"/>
      <c r="E23" s="476"/>
      <c r="F23" s="477"/>
      <c r="G23" s="475"/>
      <c r="H23" s="478"/>
      <c r="I23" s="479"/>
      <c r="J23" s="475"/>
      <c r="K23" s="476"/>
    </row>
    <row r="24" spans="1:11" ht="11.25" customHeight="1" x14ac:dyDescent="0.25">
      <c r="A24" s="549" t="s">
        <v>631</v>
      </c>
      <c r="B24" s="415"/>
      <c r="C24" s="475"/>
      <c r="D24" s="475"/>
      <c r="E24" s="476"/>
      <c r="F24" s="477"/>
      <c r="G24" s="475"/>
      <c r="H24" s="478"/>
      <c r="I24" s="479"/>
      <c r="J24" s="475"/>
      <c r="K24" s="476"/>
    </row>
    <row r="25" spans="1:11" ht="11.25" customHeight="1" x14ac:dyDescent="0.25">
      <c r="A25" s="549" t="s">
        <v>179</v>
      </c>
      <c r="B25" s="415"/>
      <c r="C25" s="475"/>
      <c r="D25" s="475"/>
      <c r="E25" s="476"/>
      <c r="F25" s="477"/>
      <c r="G25" s="475"/>
      <c r="H25" s="478"/>
      <c r="I25" s="479"/>
      <c r="J25" s="475"/>
      <c r="K25" s="476"/>
    </row>
    <row r="26" spans="1:11" ht="11.25" customHeight="1" x14ac:dyDescent="0.25">
      <c r="A26" s="549" t="s">
        <v>5</v>
      </c>
      <c r="B26" s="415"/>
      <c r="C26" s="475"/>
      <c r="D26" s="475"/>
      <c r="E26" s="476"/>
      <c r="F26" s="477"/>
      <c r="G26" s="475"/>
      <c r="H26" s="478"/>
      <c r="I26" s="479"/>
      <c r="J26" s="475"/>
      <c r="K26" s="476"/>
    </row>
    <row r="27" spans="1:11" ht="11.25" customHeight="1" x14ac:dyDescent="0.25">
      <c r="A27" s="549" t="s">
        <v>6</v>
      </c>
      <c r="B27" s="415"/>
      <c r="C27" s="475"/>
      <c r="D27" s="475"/>
      <c r="E27" s="476"/>
      <c r="F27" s="477"/>
      <c r="G27" s="475"/>
      <c r="H27" s="478"/>
      <c r="I27" s="479"/>
      <c r="J27" s="475"/>
      <c r="K27" s="476"/>
    </row>
    <row r="28" spans="1:11" ht="11.25" customHeight="1" x14ac:dyDescent="0.25">
      <c r="A28" s="549" t="s">
        <v>119</v>
      </c>
      <c r="B28" s="415"/>
      <c r="C28" s="475"/>
      <c r="D28" s="475"/>
      <c r="E28" s="476"/>
      <c r="F28" s="477"/>
      <c r="G28" s="475"/>
      <c r="H28" s="478"/>
      <c r="I28" s="479"/>
      <c r="J28" s="475"/>
      <c r="K28" s="476"/>
    </row>
    <row r="29" spans="1:11" ht="11.25" customHeight="1" x14ac:dyDescent="0.25">
      <c r="A29" s="549" t="s">
        <v>279</v>
      </c>
      <c r="B29" s="415"/>
      <c r="C29" s="475"/>
      <c r="D29" s="475"/>
      <c r="E29" s="476"/>
      <c r="F29" s="477" t="s">
        <v>1020</v>
      </c>
      <c r="G29" s="475">
        <v>6</v>
      </c>
      <c r="H29" s="478"/>
      <c r="I29" s="477" t="s">
        <v>1020</v>
      </c>
      <c r="J29" s="475">
        <v>6</v>
      </c>
      <c r="K29" s="476"/>
    </row>
    <row r="30" spans="1:11" ht="11.25" customHeight="1" x14ac:dyDescent="0.25">
      <c r="A30" s="382" t="s">
        <v>633</v>
      </c>
      <c r="B30" s="415"/>
      <c r="C30" s="475"/>
      <c r="D30" s="475"/>
      <c r="E30" s="476"/>
      <c r="F30" s="477"/>
      <c r="G30" s="475"/>
      <c r="H30" s="478"/>
      <c r="I30" s="479"/>
      <c r="J30" s="475"/>
      <c r="K30" s="476"/>
    </row>
    <row r="31" spans="1:11" ht="11.25" customHeight="1" x14ac:dyDescent="0.25">
      <c r="A31" s="382" t="s">
        <v>634</v>
      </c>
      <c r="B31" s="415"/>
      <c r="C31" s="475"/>
      <c r="D31" s="475"/>
      <c r="E31" s="476"/>
      <c r="F31" s="477"/>
      <c r="G31" s="475"/>
      <c r="H31" s="478"/>
      <c r="I31" s="479"/>
      <c r="J31" s="475"/>
      <c r="K31" s="476"/>
    </row>
    <row r="32" spans="1:11" ht="11.25" customHeight="1" x14ac:dyDescent="0.25">
      <c r="A32" s="382" t="s">
        <v>635</v>
      </c>
      <c r="B32" s="415"/>
      <c r="C32" s="475"/>
      <c r="D32" s="475"/>
      <c r="E32" s="476"/>
      <c r="F32" s="477"/>
      <c r="G32" s="475"/>
      <c r="H32" s="478"/>
      <c r="I32" s="479"/>
      <c r="J32" s="475"/>
      <c r="K32" s="476"/>
    </row>
    <row r="33" spans="1:11" ht="11.25" customHeight="1" x14ac:dyDescent="0.25">
      <c r="A33" s="382" t="s">
        <v>636</v>
      </c>
      <c r="B33" s="415"/>
      <c r="C33" s="475"/>
      <c r="D33" s="475"/>
      <c r="E33" s="476"/>
      <c r="F33" s="477"/>
      <c r="G33" s="475"/>
      <c r="H33" s="478"/>
      <c r="I33" s="479"/>
      <c r="J33" s="475"/>
      <c r="K33" s="476"/>
    </row>
    <row r="34" spans="1:11" ht="11.25" customHeight="1" x14ac:dyDescent="0.25">
      <c r="A34" s="382" t="s">
        <v>637</v>
      </c>
      <c r="B34" s="415"/>
      <c r="C34" s="475"/>
      <c r="D34" s="475"/>
      <c r="E34" s="476"/>
      <c r="F34" s="477"/>
      <c r="G34" s="475"/>
      <c r="H34" s="478"/>
      <c r="I34" s="479"/>
      <c r="J34" s="475"/>
      <c r="K34" s="476"/>
    </row>
    <row r="35" spans="1:11" ht="11.25" customHeight="1" x14ac:dyDescent="0.25">
      <c r="A35" s="382" t="s">
        <v>638</v>
      </c>
      <c r="B35" s="415"/>
      <c r="C35" s="475"/>
      <c r="D35" s="475"/>
      <c r="E35" s="476"/>
      <c r="F35" s="477"/>
      <c r="G35" s="475"/>
      <c r="H35" s="478"/>
      <c r="I35" s="479"/>
      <c r="J35" s="475"/>
      <c r="K35" s="476"/>
    </row>
    <row r="36" spans="1:11" ht="11.25" customHeight="1" x14ac:dyDescent="0.25">
      <c r="A36" s="550" t="s">
        <v>991</v>
      </c>
      <c r="B36" s="415"/>
      <c r="C36" s="485">
        <f>SUM(C5:C9)+SUM(C11:C19)+SUM(C21:C35)</f>
        <v>0</v>
      </c>
      <c r="D36" s="485">
        <f t="shared" ref="D36:K36" si="2">SUM(D5:D9)+SUM(D11:D19)+SUM(D21:D35)</f>
        <v>0</v>
      </c>
      <c r="E36" s="486">
        <f t="shared" si="2"/>
        <v>0</v>
      </c>
      <c r="F36" s="487">
        <f t="shared" si="2"/>
        <v>0</v>
      </c>
      <c r="G36" s="485">
        <f t="shared" si="2"/>
        <v>8</v>
      </c>
      <c r="H36" s="488">
        <f t="shared" si="2"/>
        <v>1</v>
      </c>
      <c r="I36" s="489">
        <f t="shared" si="2"/>
        <v>0</v>
      </c>
      <c r="J36" s="485">
        <f t="shared" si="2"/>
        <v>8</v>
      </c>
      <c r="K36" s="488">
        <f t="shared" si="2"/>
        <v>1</v>
      </c>
    </row>
    <row r="37" spans="1:11" ht="11.25" customHeight="1" x14ac:dyDescent="0.25">
      <c r="A37" s="551" t="s">
        <v>282</v>
      </c>
      <c r="B37" s="415"/>
      <c r="C37" s="490"/>
      <c r="D37" s="491">
        <f>IF(ISERROR((D36/C36)-1),0,((D36/C36)-1))</f>
        <v>0</v>
      </c>
      <c r="E37" s="492">
        <f>IF(ISERROR((E36/D36)-1),0,((E36/D36)-1))</f>
        <v>0</v>
      </c>
      <c r="F37" s="493">
        <f>IF(ISERROR((F36/E36)-1),0,((F36/E36)-1))</f>
        <v>0</v>
      </c>
      <c r="G37" s="494">
        <f>IF(ISERROR((G36/E36)-1),0,((G36/E36)-1))</f>
        <v>0</v>
      </c>
      <c r="H37" s="495">
        <f>IF(ISERROR((H36/E36)-1),0,((H36/E36)-1))</f>
        <v>0</v>
      </c>
      <c r="I37" s="496">
        <f>IF(ISERROR((I36/H36)-1),0,((I36/H36)-1))</f>
        <v>-1</v>
      </c>
      <c r="J37" s="494">
        <f>IF(ISERROR((J36/I36)-1),0,((J36/I36)-1))</f>
        <v>0</v>
      </c>
      <c r="K37" s="497">
        <f>IF(ISERROR((K36/J36)-1),0,((K36/J36)-1))</f>
        <v>-0.875</v>
      </c>
    </row>
    <row r="38" spans="1:11" ht="3.75" customHeight="1" x14ac:dyDescent="0.25">
      <c r="A38" s="551"/>
      <c r="B38" s="415"/>
      <c r="C38" s="490"/>
      <c r="D38" s="494"/>
      <c r="E38" s="497"/>
      <c r="F38" s="493"/>
      <c r="G38" s="494"/>
      <c r="H38" s="495"/>
      <c r="I38" s="496"/>
      <c r="J38" s="494"/>
      <c r="K38" s="497"/>
    </row>
    <row r="39" spans="1:11" ht="11.25" customHeight="1" x14ac:dyDescent="0.25">
      <c r="A39" s="469" t="s">
        <v>648</v>
      </c>
      <c r="B39" s="415">
        <v>5</v>
      </c>
      <c r="C39" s="498"/>
      <c r="D39" s="499"/>
      <c r="E39" s="500"/>
      <c r="F39" s="501"/>
      <c r="G39" s="502"/>
      <c r="H39" s="503"/>
      <c r="I39" s="504"/>
      <c r="J39" s="502"/>
      <c r="K39" s="505"/>
    </row>
    <row r="40" spans="1:11" ht="11.25" customHeight="1" x14ac:dyDescent="0.25">
      <c r="A40" s="383" t="s">
        <v>639</v>
      </c>
      <c r="B40" s="415">
        <v>7</v>
      </c>
      <c r="C40" s="498"/>
      <c r="D40" s="499"/>
      <c r="E40" s="500"/>
      <c r="F40" s="501"/>
      <c r="G40" s="502"/>
      <c r="H40" s="503"/>
      <c r="I40" s="504"/>
      <c r="J40" s="502"/>
      <c r="K40" s="505"/>
    </row>
    <row r="41" spans="1:11" ht="11.25" customHeight="1" x14ac:dyDescent="0.25">
      <c r="A41" s="506" t="s">
        <v>640</v>
      </c>
      <c r="B41" s="507">
        <v>7</v>
      </c>
      <c r="C41" s="508"/>
      <c r="D41" s="509"/>
      <c r="E41" s="510"/>
      <c r="F41" s="511"/>
      <c r="G41" s="512"/>
      <c r="H41" s="513"/>
      <c r="I41" s="514"/>
      <c r="J41" s="512"/>
      <c r="K41" s="515"/>
    </row>
    <row r="42" spans="1:11" ht="11.25" customHeight="1" x14ac:dyDescent="0.25">
      <c r="A42" s="516"/>
      <c r="B42" s="36"/>
      <c r="C42" s="52"/>
      <c r="D42" s="52"/>
      <c r="E42" s="52"/>
      <c r="F42" s="52"/>
      <c r="G42" s="52"/>
      <c r="H42" s="52"/>
      <c r="I42" s="52"/>
      <c r="J42" s="52"/>
      <c r="K42" s="52"/>
    </row>
    <row r="43" spans="1:11" ht="11.25" customHeight="1" x14ac:dyDescent="0.25">
      <c r="A43" s="561" t="str">
        <f>head27a</f>
        <v>References</v>
      </c>
      <c r="B43" s="517"/>
      <c r="C43" s="518"/>
      <c r="D43" s="518"/>
      <c r="E43" s="518"/>
      <c r="F43" s="518"/>
      <c r="G43" s="518"/>
      <c r="H43" s="518"/>
      <c r="I43" s="518"/>
      <c r="J43" s="518"/>
      <c r="K43" s="518"/>
    </row>
    <row r="44" spans="1:11" ht="11.25" customHeight="1" x14ac:dyDescent="0.25">
      <c r="A44" s="562" t="s">
        <v>641</v>
      </c>
      <c r="B44" s="519"/>
      <c r="C44" s="520"/>
      <c r="D44" s="520"/>
      <c r="E44" s="520"/>
      <c r="F44" s="520"/>
      <c r="G44" s="520"/>
      <c r="H44" s="520"/>
      <c r="I44" s="520"/>
      <c r="J44" s="520"/>
      <c r="K44" s="520"/>
    </row>
    <row r="45" spans="1:11" ht="11.25" customHeight="1" x14ac:dyDescent="0.25">
      <c r="A45" s="562" t="s">
        <v>642</v>
      </c>
      <c r="B45" s="519"/>
      <c r="C45" s="520"/>
      <c r="D45" s="520"/>
      <c r="E45" s="520"/>
      <c r="F45" s="520"/>
      <c r="G45" s="520"/>
      <c r="H45" s="520"/>
      <c r="I45" s="520"/>
      <c r="J45" s="520"/>
      <c r="K45" s="520"/>
    </row>
    <row r="46" spans="1:11" ht="11.25" customHeight="1" x14ac:dyDescent="0.25">
      <c r="A46" s="562" t="s">
        <v>643</v>
      </c>
      <c r="B46" s="519"/>
      <c r="C46" s="520"/>
      <c r="D46" s="520"/>
      <c r="E46" s="520"/>
      <c r="F46" s="520"/>
      <c r="G46" s="520"/>
      <c r="H46" s="520"/>
      <c r="I46" s="520"/>
      <c r="J46" s="520"/>
      <c r="K46" s="520"/>
    </row>
    <row r="47" spans="1:11" ht="11.25" customHeight="1" x14ac:dyDescent="0.25">
      <c r="A47" s="562" t="s">
        <v>644</v>
      </c>
      <c r="B47" s="519"/>
      <c r="C47" s="520"/>
      <c r="D47" s="520"/>
      <c r="E47" s="520"/>
      <c r="F47" s="520"/>
      <c r="G47" s="520"/>
      <c r="H47" s="520"/>
      <c r="I47" s="520"/>
      <c r="J47" s="520"/>
      <c r="K47" s="520"/>
    </row>
    <row r="48" spans="1:11" ht="11.25" customHeight="1" x14ac:dyDescent="0.25">
      <c r="A48" s="562" t="s">
        <v>645</v>
      </c>
      <c r="B48" s="519"/>
      <c r="C48" s="520"/>
      <c r="D48" s="520"/>
      <c r="E48" s="520"/>
      <c r="F48" s="520"/>
      <c r="G48" s="520"/>
      <c r="H48" s="520"/>
      <c r="I48" s="520"/>
      <c r="J48" s="520"/>
      <c r="K48" s="520"/>
    </row>
    <row r="49" spans="1:11" ht="11.25" customHeight="1" x14ac:dyDescent="0.25">
      <c r="A49" s="562" t="s">
        <v>646</v>
      </c>
      <c r="B49" s="519"/>
      <c r="C49" s="520"/>
      <c r="D49" s="520"/>
      <c r="E49" s="520"/>
      <c r="F49" s="520"/>
      <c r="G49" s="520"/>
      <c r="H49" s="520"/>
      <c r="I49" s="520"/>
      <c r="J49" s="520"/>
      <c r="K49" s="520"/>
    </row>
    <row r="50" spans="1:11" ht="11.25" customHeight="1" x14ac:dyDescent="0.25">
      <c r="A50" s="562" t="s">
        <v>647</v>
      </c>
      <c r="B50" s="519"/>
      <c r="C50" s="520"/>
      <c r="D50" s="520"/>
      <c r="E50" s="520"/>
      <c r="F50" s="520"/>
      <c r="G50" s="520"/>
      <c r="H50" s="520"/>
      <c r="I50" s="520"/>
      <c r="J50" s="520"/>
      <c r="K50" s="520"/>
    </row>
  </sheetData>
  <sheetProtection sheet="1" objects="1" scenarios="1"/>
  <mergeCells count="3">
    <mergeCell ref="C2:E2"/>
    <mergeCell ref="F2:H2"/>
    <mergeCell ref="I2:K2"/>
  </mergeCells>
  <phoneticPr fontId="2"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5">
    <tabColor rgb="FFCCFFCC"/>
    <pageSetUpPr fitToPage="1"/>
  </sheetPr>
  <dimension ref="A1:Q53"/>
  <sheetViews>
    <sheetView showGridLines="0" workbookViewId="0">
      <pane xSplit="1" ySplit="4" topLeftCell="B5" activePane="bottomRight" state="frozen"/>
      <selection activeCell="G21" sqref="G21"/>
      <selection pane="topRight" activeCell="G21" sqref="G21"/>
      <selection pane="bottomLeft" activeCell="G21" sqref="G21"/>
      <selection pane="bottomRight" activeCell="M23" sqref="M23"/>
    </sheetView>
  </sheetViews>
  <sheetFormatPr defaultRowHeight="12.75" x14ac:dyDescent="0.25"/>
  <cols>
    <col min="1" max="1" width="34.7109375" style="20" customWidth="1"/>
    <col min="2" max="13" width="8.7109375" style="20" customWidth="1"/>
    <col min="14" max="14" width="8.7109375" style="20" hidden="1" customWidth="1"/>
    <col min="15" max="17" width="8.7109375" style="20" customWidth="1"/>
    <col min="18" max="16384" width="9.140625" style="20"/>
  </cols>
  <sheetData>
    <row r="1" spans="1:17" ht="13.5" x14ac:dyDescent="0.25">
      <c r="A1" s="113" t="str">
        <f>_MEB8</f>
        <v>Greater Tzaneen Economic Development Agency (GTEDA) - Supporting Table SD6 Budgeted monthly cash and revenue/expenditure</v>
      </c>
      <c r="C1" s="43"/>
    </row>
    <row r="2" spans="1:17" ht="25.5" x14ac:dyDescent="0.25">
      <c r="A2" s="621" t="str">
        <f>desc</f>
        <v>Description</v>
      </c>
      <c r="B2" s="133" t="str">
        <f>Head9</f>
        <v>Budget Year 2016/17</v>
      </c>
      <c r="C2" s="131"/>
      <c r="D2" s="131"/>
      <c r="E2" s="131"/>
      <c r="F2" s="131"/>
      <c r="G2" s="131"/>
      <c r="H2" s="131"/>
      <c r="I2" s="131"/>
      <c r="J2" s="131"/>
      <c r="K2" s="131"/>
      <c r="L2" s="131"/>
      <c r="M2" s="131"/>
      <c r="N2" s="141"/>
      <c r="O2" s="133" t="str">
        <f>Head3a</f>
        <v>Medium Term Revenue and Expenditure Framework</v>
      </c>
      <c r="P2" s="131"/>
      <c r="Q2" s="132"/>
    </row>
    <row r="3" spans="1:17" x14ac:dyDescent="0.25">
      <c r="A3" s="622"/>
      <c r="B3" s="128" t="s">
        <v>325</v>
      </c>
      <c r="C3" s="102" t="s">
        <v>421</v>
      </c>
      <c r="D3" s="102" t="s">
        <v>422</v>
      </c>
      <c r="E3" s="102" t="s">
        <v>423</v>
      </c>
      <c r="F3" s="102" t="s">
        <v>424</v>
      </c>
      <c r="G3" s="114" t="s">
        <v>425</v>
      </c>
      <c r="H3" s="129" t="s">
        <v>426</v>
      </c>
      <c r="I3" s="155" t="s">
        <v>427</v>
      </c>
      <c r="J3" s="102" t="s">
        <v>428</v>
      </c>
      <c r="K3" s="102" t="s">
        <v>429</v>
      </c>
      <c r="L3" s="129" t="s">
        <v>430</v>
      </c>
      <c r="M3" s="155" t="s">
        <v>431</v>
      </c>
      <c r="N3" s="162"/>
      <c r="O3" s="632" t="str">
        <f>Head9</f>
        <v>Budget Year 2016/17</v>
      </c>
      <c r="P3" s="634" t="str">
        <f>Head10</f>
        <v>Budget Year +1 2017/18</v>
      </c>
      <c r="Q3" s="636" t="str">
        <f>Head11</f>
        <v>Budget Year +2 2018/19</v>
      </c>
    </row>
    <row r="4" spans="1:17" ht="13.5" customHeight="1" x14ac:dyDescent="0.25">
      <c r="A4" s="161" t="s">
        <v>225</v>
      </c>
      <c r="B4" s="160"/>
      <c r="C4" s="158"/>
      <c r="D4" s="158"/>
      <c r="E4" s="158"/>
      <c r="F4" s="158"/>
      <c r="G4" s="159"/>
      <c r="H4" s="158"/>
      <c r="I4" s="159"/>
      <c r="J4" s="158"/>
      <c r="K4" s="158"/>
      <c r="L4" s="158"/>
      <c r="M4" s="159"/>
      <c r="N4" s="163"/>
      <c r="O4" s="633"/>
      <c r="P4" s="635"/>
      <c r="Q4" s="637"/>
    </row>
    <row r="5" spans="1:17" ht="12.75" customHeight="1" x14ac:dyDescent="0.25">
      <c r="A5" s="22" t="s">
        <v>59</v>
      </c>
      <c r="B5" s="28"/>
      <c r="C5" s="27"/>
      <c r="D5" s="27"/>
      <c r="E5" s="27"/>
      <c r="F5" s="27"/>
      <c r="G5" s="63"/>
      <c r="H5" s="27"/>
      <c r="I5" s="27"/>
      <c r="J5" s="27"/>
      <c r="K5" s="27"/>
      <c r="L5" s="27"/>
      <c r="M5" s="63"/>
      <c r="N5" s="97"/>
      <c r="O5" s="28"/>
      <c r="P5" s="27"/>
      <c r="Q5" s="106"/>
    </row>
    <row r="6" spans="1:17" ht="12.75" customHeight="1" x14ac:dyDescent="0.25">
      <c r="A6" s="24" t="s">
        <v>487</v>
      </c>
      <c r="B6" s="284"/>
      <c r="C6" s="282"/>
      <c r="D6" s="282"/>
      <c r="E6" s="282"/>
      <c r="F6" s="282"/>
      <c r="G6" s="318"/>
      <c r="H6" s="282"/>
      <c r="I6" s="282"/>
      <c r="J6" s="282"/>
      <c r="K6" s="282"/>
      <c r="L6" s="282"/>
      <c r="M6" s="63">
        <f>O6-SUM(B6:L6)</f>
        <v>0</v>
      </c>
      <c r="N6" s="97">
        <f>SUM(B6:M6)</f>
        <v>0</v>
      </c>
      <c r="O6" s="28">
        <f>SUM('D2-FinPerf'!I7:I11)</f>
        <v>0</v>
      </c>
      <c r="P6" s="27">
        <f>SUM('D2-FinPerf'!J7:J11)</f>
        <v>0</v>
      </c>
      <c r="Q6" s="106">
        <f>SUM('D2-FinPerf'!K7:K11)</f>
        <v>0</v>
      </c>
    </row>
    <row r="7" spans="1:17" ht="12.75" customHeight="1" x14ac:dyDescent="0.25">
      <c r="A7" s="24" t="s">
        <v>488</v>
      </c>
      <c r="B7" s="284"/>
      <c r="C7" s="282"/>
      <c r="D7" s="282"/>
      <c r="E7" s="282"/>
      <c r="F7" s="282"/>
      <c r="G7" s="318"/>
      <c r="H7" s="282"/>
      <c r="I7" s="282"/>
      <c r="J7" s="282"/>
      <c r="K7" s="282"/>
      <c r="L7" s="282"/>
      <c r="M7" s="63">
        <f>O7-SUM(B7:L7)</f>
        <v>0</v>
      </c>
      <c r="N7" s="97">
        <f>SUM(B7:M7)</f>
        <v>0</v>
      </c>
      <c r="O7" s="28">
        <f>'D2-FinPerf'!I12</f>
        <v>0</v>
      </c>
      <c r="P7" s="27">
        <f>'D2-FinPerf'!J12</f>
        <v>0</v>
      </c>
      <c r="Q7" s="106">
        <f>'D2-FinPerf'!K12</f>
        <v>0</v>
      </c>
    </row>
    <row r="8" spans="1:17" ht="12.75" customHeight="1" x14ac:dyDescent="0.25">
      <c r="A8" s="24" t="s">
        <v>30</v>
      </c>
      <c r="B8" s="284"/>
      <c r="C8" s="282"/>
      <c r="D8" s="282"/>
      <c r="E8" s="282"/>
      <c r="F8" s="282"/>
      <c r="G8" s="318"/>
      <c r="H8" s="282"/>
      <c r="I8" s="282"/>
      <c r="J8" s="282"/>
      <c r="K8" s="282"/>
      <c r="L8" s="282"/>
      <c r="M8" s="63">
        <f>O8-SUM(B8:L8)</f>
        <v>6734701</v>
      </c>
      <c r="N8" s="97">
        <f>SUM(B8:M8)</f>
        <v>6734701</v>
      </c>
      <c r="O8" s="28">
        <f>SUM('D2-FinPerf'!I5:I6)+SUM('D2-FinPerf'!I13:I20)</f>
        <v>6734701</v>
      </c>
      <c r="P8" s="27">
        <f>SUM('D2-FinPerf'!J5:J6)+SUM('D2-FinPerf'!J13:J20)</f>
        <v>6948783</v>
      </c>
      <c r="Q8" s="106">
        <f>SUM('D2-FinPerf'!K5:K6)+SUM('D2-FinPerf'!K13:K20)</f>
        <v>7363710</v>
      </c>
    </row>
    <row r="9" spans="1:17" ht="12.75" customHeight="1" x14ac:dyDescent="0.25">
      <c r="A9" s="24" t="s">
        <v>381</v>
      </c>
      <c r="B9" s="284"/>
      <c r="C9" s="282"/>
      <c r="D9" s="282"/>
      <c r="E9" s="282"/>
      <c r="F9" s="282"/>
      <c r="G9" s="318"/>
      <c r="H9" s="282"/>
      <c r="I9" s="282"/>
      <c r="J9" s="282"/>
      <c r="K9" s="282"/>
      <c r="L9" s="282"/>
      <c r="M9" s="63">
        <f>O9-SUM(B9:L9)</f>
        <v>0</v>
      </c>
      <c r="N9" s="97">
        <f>SUM(B9:M9)</f>
        <v>0</v>
      </c>
      <c r="O9" s="28">
        <f>'D2-FinPerf'!I21</f>
        <v>0</v>
      </c>
      <c r="P9" s="27">
        <f>'D2-FinPerf'!J21</f>
        <v>0</v>
      </c>
      <c r="Q9" s="106">
        <f>'D2-FinPerf'!K21</f>
        <v>0</v>
      </c>
    </row>
    <row r="10" spans="1:17" s="124" customFormat="1" ht="12.75" customHeight="1" x14ac:dyDescent="0.25">
      <c r="A10" s="59" t="s">
        <v>61</v>
      </c>
      <c r="B10" s="45">
        <f>SUM(B6:B9)</f>
        <v>0</v>
      </c>
      <c r="C10" s="44">
        <f t="shared" ref="C10:Q10" si="0">SUM(C6:C9)</f>
        <v>0</v>
      </c>
      <c r="D10" s="44">
        <f t="shared" si="0"/>
        <v>0</v>
      </c>
      <c r="E10" s="44">
        <f t="shared" si="0"/>
        <v>0</v>
      </c>
      <c r="F10" s="44">
        <f t="shared" si="0"/>
        <v>0</v>
      </c>
      <c r="G10" s="152">
        <f t="shared" si="0"/>
        <v>0</v>
      </c>
      <c r="H10" s="44">
        <f t="shared" si="0"/>
        <v>0</v>
      </c>
      <c r="I10" s="44">
        <f t="shared" si="0"/>
        <v>0</v>
      </c>
      <c r="J10" s="44">
        <f t="shared" si="0"/>
        <v>0</v>
      </c>
      <c r="K10" s="44">
        <f t="shared" si="0"/>
        <v>0</v>
      </c>
      <c r="L10" s="44">
        <f t="shared" si="0"/>
        <v>0</v>
      </c>
      <c r="M10" s="152">
        <f t="shared" si="0"/>
        <v>6734701</v>
      </c>
      <c r="N10" s="140">
        <f t="shared" si="0"/>
        <v>6734701</v>
      </c>
      <c r="O10" s="45">
        <f t="shared" si="0"/>
        <v>6734701</v>
      </c>
      <c r="P10" s="44">
        <f t="shared" si="0"/>
        <v>6948783</v>
      </c>
      <c r="Q10" s="107">
        <f t="shared" si="0"/>
        <v>7363710</v>
      </c>
    </row>
    <row r="11" spans="1:17" ht="5.0999999999999996" customHeight="1" x14ac:dyDescent="0.25">
      <c r="A11" s="55"/>
      <c r="B11" s="28"/>
      <c r="C11" s="27"/>
      <c r="D11" s="27"/>
      <c r="E11" s="27"/>
      <c r="F11" s="27"/>
      <c r="G11" s="63"/>
      <c r="H11" s="27"/>
      <c r="I11" s="27"/>
      <c r="J11" s="27"/>
      <c r="K11" s="27"/>
      <c r="L11" s="27"/>
      <c r="M11" s="63"/>
      <c r="N11" s="97"/>
      <c r="O11" s="28"/>
      <c r="P11" s="27"/>
      <c r="Q11" s="106"/>
    </row>
    <row r="12" spans="1:17" ht="12.75" customHeight="1" x14ac:dyDescent="0.25">
      <c r="A12" s="22" t="s">
        <v>60</v>
      </c>
      <c r="B12" s="28"/>
      <c r="C12" s="27"/>
      <c r="D12" s="27"/>
      <c r="E12" s="27"/>
      <c r="F12" s="27"/>
      <c r="G12" s="63"/>
      <c r="H12" s="27"/>
      <c r="I12" s="27"/>
      <c r="J12" s="27"/>
      <c r="K12" s="27"/>
      <c r="L12" s="27"/>
      <c r="M12" s="63"/>
      <c r="N12" s="97"/>
      <c r="O12" s="28"/>
      <c r="P12" s="27"/>
      <c r="Q12" s="106"/>
    </row>
    <row r="13" spans="1:17" ht="12.75" customHeight="1" x14ac:dyDescent="0.25">
      <c r="A13" s="24" t="s">
        <v>382</v>
      </c>
      <c r="B13" s="284"/>
      <c r="C13" s="282"/>
      <c r="D13" s="282"/>
      <c r="E13" s="282"/>
      <c r="F13" s="282"/>
      <c r="G13" s="318"/>
      <c r="H13" s="282"/>
      <c r="I13" s="282"/>
      <c r="J13" s="282"/>
      <c r="K13" s="282"/>
      <c r="L13" s="282"/>
      <c r="M13" s="63">
        <f>O13-SUM(B13:L13)</f>
        <v>3465273.65</v>
      </c>
      <c r="N13" s="97">
        <f>SUM(B13:M13)</f>
        <v>3465273.65</v>
      </c>
      <c r="O13" s="28">
        <f>'D2-FinPerf'!I25</f>
        <v>3465273.65</v>
      </c>
      <c r="P13" s="27">
        <f>'D2-FinPerf'!J25</f>
        <v>3715181.69</v>
      </c>
      <c r="Q13" s="106">
        <f>'D2-FinPerf'!K25</f>
        <v>3983317.19</v>
      </c>
    </row>
    <row r="14" spans="1:17" ht="12.75" customHeight="1" x14ac:dyDescent="0.25">
      <c r="A14" s="24" t="s">
        <v>4</v>
      </c>
      <c r="B14" s="284"/>
      <c r="C14" s="282"/>
      <c r="D14" s="282"/>
      <c r="E14" s="282"/>
      <c r="F14" s="282"/>
      <c r="G14" s="318"/>
      <c r="H14" s="282"/>
      <c r="I14" s="282"/>
      <c r="J14" s="282"/>
      <c r="K14" s="282"/>
      <c r="L14" s="282"/>
      <c r="M14" s="63">
        <f t="shared" ref="M14:M24" si="1">O14-SUM(B14:L14)</f>
        <v>1137031.82</v>
      </c>
      <c r="N14" s="97">
        <f t="shared" ref="N14:N24" si="2">SUM(B14:M14)</f>
        <v>1137031.82</v>
      </c>
      <c r="O14" s="28">
        <f>'D2-FinPerf'!I26</f>
        <v>1137031.82</v>
      </c>
      <c r="P14" s="27">
        <f>'D2-FinPerf'!J26</f>
        <v>1217260.06</v>
      </c>
      <c r="Q14" s="106">
        <f>'D2-FinPerf'!K26</f>
        <v>1303167.8500000001</v>
      </c>
    </row>
    <row r="15" spans="1:17" ht="12.75" customHeight="1" x14ac:dyDescent="0.25">
      <c r="A15" s="24" t="s">
        <v>172</v>
      </c>
      <c r="B15" s="284"/>
      <c r="C15" s="282"/>
      <c r="D15" s="282"/>
      <c r="E15" s="282"/>
      <c r="F15" s="282"/>
      <c r="G15" s="318"/>
      <c r="H15" s="282"/>
      <c r="I15" s="282"/>
      <c r="J15" s="282"/>
      <c r="K15" s="282"/>
      <c r="L15" s="282"/>
      <c r="M15" s="63">
        <f t="shared" si="1"/>
        <v>0</v>
      </c>
      <c r="N15" s="97">
        <f t="shared" si="2"/>
        <v>0</v>
      </c>
      <c r="O15" s="28">
        <f>'D2-FinPerf'!I27</f>
        <v>0</v>
      </c>
      <c r="P15" s="27">
        <f>'D2-FinPerf'!J27</f>
        <v>0</v>
      </c>
      <c r="Q15" s="106">
        <f>'D2-FinPerf'!K27</f>
        <v>0</v>
      </c>
    </row>
    <row r="16" spans="1:17" ht="12.75" customHeight="1" x14ac:dyDescent="0.25">
      <c r="A16" s="24" t="s">
        <v>383</v>
      </c>
      <c r="B16" s="284"/>
      <c r="C16" s="282"/>
      <c r="D16" s="282"/>
      <c r="E16" s="282"/>
      <c r="F16" s="282"/>
      <c r="G16" s="318"/>
      <c r="H16" s="282"/>
      <c r="I16" s="282"/>
      <c r="J16" s="282"/>
      <c r="K16" s="282"/>
      <c r="L16" s="282"/>
      <c r="M16" s="63">
        <f t="shared" si="1"/>
        <v>0</v>
      </c>
      <c r="N16" s="97">
        <f t="shared" si="2"/>
        <v>0</v>
      </c>
      <c r="O16" s="28">
        <f>'D2-FinPerf'!I28</f>
        <v>0</v>
      </c>
      <c r="P16" s="27">
        <f>'D2-FinPerf'!J28</f>
        <v>0</v>
      </c>
      <c r="Q16" s="106">
        <f>'D2-FinPerf'!K28</f>
        <v>0</v>
      </c>
    </row>
    <row r="17" spans="1:17" ht="12.75" customHeight="1" x14ac:dyDescent="0.25">
      <c r="A17" s="24" t="s">
        <v>220</v>
      </c>
      <c r="B17" s="284"/>
      <c r="C17" s="282"/>
      <c r="D17" s="282"/>
      <c r="E17" s="282"/>
      <c r="F17" s="282"/>
      <c r="G17" s="318"/>
      <c r="H17" s="282"/>
      <c r="I17" s="282"/>
      <c r="J17" s="282"/>
      <c r="K17" s="282"/>
      <c r="L17" s="282"/>
      <c r="M17" s="63">
        <f t="shared" si="1"/>
        <v>0</v>
      </c>
      <c r="N17" s="97">
        <f t="shared" si="2"/>
        <v>0</v>
      </c>
      <c r="O17" s="28">
        <f>'D2-FinPerf'!I29</f>
        <v>0</v>
      </c>
      <c r="P17" s="27">
        <f>'D2-FinPerf'!J29</f>
        <v>0</v>
      </c>
      <c r="Q17" s="106">
        <f>'D2-FinPerf'!K29</f>
        <v>0</v>
      </c>
    </row>
    <row r="18" spans="1:17" ht="12.75" customHeight="1" x14ac:dyDescent="0.25">
      <c r="A18" s="24" t="s">
        <v>29</v>
      </c>
      <c r="B18" s="284"/>
      <c r="C18" s="282"/>
      <c r="D18" s="282"/>
      <c r="E18" s="282"/>
      <c r="F18" s="282"/>
      <c r="G18" s="318"/>
      <c r="H18" s="282"/>
      <c r="I18" s="282"/>
      <c r="J18" s="282"/>
      <c r="K18" s="282"/>
      <c r="L18" s="282"/>
      <c r="M18" s="63">
        <f t="shared" si="1"/>
        <v>0</v>
      </c>
      <c r="N18" s="97">
        <f t="shared" si="2"/>
        <v>0</v>
      </c>
      <c r="O18" s="28">
        <f>'D2-FinPerf'!I30</f>
        <v>0</v>
      </c>
      <c r="P18" s="27">
        <f>'D2-FinPerf'!J30</f>
        <v>0</v>
      </c>
      <c r="Q18" s="106">
        <f>'D2-FinPerf'!K30</f>
        <v>0</v>
      </c>
    </row>
    <row r="19" spans="1:17" ht="12.75" customHeight="1" x14ac:dyDescent="0.25">
      <c r="A19" s="24" t="s">
        <v>654</v>
      </c>
      <c r="B19" s="284"/>
      <c r="C19" s="282"/>
      <c r="D19" s="282"/>
      <c r="E19" s="282"/>
      <c r="F19" s="282"/>
      <c r="G19" s="318"/>
      <c r="H19" s="282"/>
      <c r="I19" s="282"/>
      <c r="J19" s="282"/>
      <c r="K19" s="282"/>
      <c r="L19" s="282"/>
      <c r="M19" s="63">
        <f t="shared" si="1"/>
        <v>0</v>
      </c>
      <c r="N19" s="97">
        <f t="shared" si="2"/>
        <v>0</v>
      </c>
      <c r="O19" s="28">
        <f>'D2-FinPerf'!I31</f>
        <v>0</v>
      </c>
      <c r="P19" s="27">
        <f>'D2-FinPerf'!J31</f>
        <v>0</v>
      </c>
      <c r="Q19" s="106">
        <f>'D2-FinPerf'!K31</f>
        <v>0</v>
      </c>
    </row>
    <row r="20" spans="1:17" ht="12.75" customHeight="1" x14ac:dyDescent="0.25">
      <c r="A20" s="24" t="s">
        <v>432</v>
      </c>
      <c r="B20" s="284"/>
      <c r="C20" s="282"/>
      <c r="D20" s="282"/>
      <c r="E20" s="282"/>
      <c r="F20" s="282"/>
      <c r="G20" s="318"/>
      <c r="H20" s="282"/>
      <c r="I20" s="282"/>
      <c r="J20" s="282"/>
      <c r="K20" s="282"/>
      <c r="L20" s="282"/>
      <c r="M20" s="63">
        <f t="shared" si="1"/>
        <v>0</v>
      </c>
      <c r="N20" s="97">
        <f t="shared" si="2"/>
        <v>0</v>
      </c>
      <c r="O20" s="28">
        <f>'D2-FinPerf'!I32</f>
        <v>0</v>
      </c>
      <c r="P20" s="27">
        <f>'D2-FinPerf'!J32</f>
        <v>0</v>
      </c>
      <c r="Q20" s="106">
        <f>'D2-FinPerf'!K32</f>
        <v>0</v>
      </c>
    </row>
    <row r="21" spans="1:17" ht="12.75" customHeight="1" x14ac:dyDescent="0.25">
      <c r="A21" s="24" t="s">
        <v>385</v>
      </c>
      <c r="B21" s="284"/>
      <c r="C21" s="282"/>
      <c r="D21" s="282"/>
      <c r="E21" s="282"/>
      <c r="F21" s="282"/>
      <c r="G21" s="318"/>
      <c r="H21" s="282"/>
      <c r="I21" s="282"/>
      <c r="J21" s="282"/>
      <c r="K21" s="282"/>
      <c r="L21" s="282"/>
      <c r="M21" s="63">
        <f t="shared" si="1"/>
        <v>522050.68</v>
      </c>
      <c r="N21" s="97">
        <f t="shared" si="2"/>
        <v>522050.68</v>
      </c>
      <c r="O21" s="28">
        <f>'D2-FinPerf'!I33</f>
        <v>522050.68</v>
      </c>
      <c r="P21" s="27">
        <f>'D2-FinPerf'!J33</f>
        <v>411373.72</v>
      </c>
      <c r="Q21" s="106">
        <f>'D2-FinPerf'!K33</f>
        <v>436056.14</v>
      </c>
    </row>
    <row r="22" spans="1:17" ht="12.75" customHeight="1" x14ac:dyDescent="0.25">
      <c r="A22" s="24" t="s">
        <v>586</v>
      </c>
      <c r="B22" s="284"/>
      <c r="C22" s="282"/>
      <c r="D22" s="282"/>
      <c r="E22" s="282"/>
      <c r="F22" s="282"/>
      <c r="G22" s="318"/>
      <c r="H22" s="282"/>
      <c r="I22" s="282"/>
      <c r="J22" s="282"/>
      <c r="K22" s="282"/>
      <c r="L22" s="282"/>
      <c r="M22" s="63">
        <f t="shared" si="1"/>
        <v>0</v>
      </c>
      <c r="N22" s="97">
        <f t="shared" si="2"/>
        <v>0</v>
      </c>
      <c r="O22" s="28">
        <f>'D2-FinPerf'!I34</f>
        <v>0</v>
      </c>
      <c r="P22" s="27">
        <f>'D2-FinPerf'!J34</f>
        <v>0</v>
      </c>
      <c r="Q22" s="106">
        <f>'D2-FinPerf'!K34</f>
        <v>0</v>
      </c>
    </row>
    <row r="23" spans="1:17" ht="12.75" customHeight="1" x14ac:dyDescent="0.25">
      <c r="A23" s="24" t="s">
        <v>8</v>
      </c>
      <c r="B23" s="284"/>
      <c r="C23" s="282"/>
      <c r="D23" s="282"/>
      <c r="E23" s="282"/>
      <c r="F23" s="282"/>
      <c r="G23" s="318"/>
      <c r="H23" s="282"/>
      <c r="I23" s="282"/>
      <c r="J23" s="282"/>
      <c r="K23" s="282"/>
      <c r="L23" s="282"/>
      <c r="M23" s="63">
        <f t="shared" si="1"/>
        <v>1375643.5599999998</v>
      </c>
      <c r="N23" s="97">
        <f t="shared" si="2"/>
        <v>1375643.5599999998</v>
      </c>
      <c r="O23" s="28">
        <f>'D2-FinPerf'!I35</f>
        <v>1375643.5599999998</v>
      </c>
      <c r="P23" s="27">
        <f>'D2-FinPerf'!J35</f>
        <v>1356184.5399999998</v>
      </c>
      <c r="Q23" s="106">
        <f>'D2-FinPerf'!K35</f>
        <v>1377458.8399999996</v>
      </c>
    </row>
    <row r="24" spans="1:17" ht="12.75" customHeight="1" x14ac:dyDescent="0.25">
      <c r="A24" s="24" t="s">
        <v>140</v>
      </c>
      <c r="B24" s="284"/>
      <c r="C24" s="282"/>
      <c r="D24" s="282"/>
      <c r="E24" s="282"/>
      <c r="F24" s="282"/>
      <c r="G24" s="318"/>
      <c r="H24" s="282"/>
      <c r="I24" s="282"/>
      <c r="J24" s="282"/>
      <c r="K24" s="282"/>
      <c r="L24" s="282"/>
      <c r="M24" s="63">
        <f t="shared" si="1"/>
        <v>0</v>
      </c>
      <c r="N24" s="97">
        <f t="shared" si="2"/>
        <v>0</v>
      </c>
      <c r="O24" s="28">
        <f>'D2-FinPerf'!I36</f>
        <v>0</v>
      </c>
      <c r="P24" s="27">
        <f>'D2-FinPerf'!J36</f>
        <v>0</v>
      </c>
      <c r="Q24" s="106">
        <f>'D2-FinPerf'!K36</f>
        <v>0</v>
      </c>
    </row>
    <row r="25" spans="1:17" s="124" customFormat="1" ht="12.75" customHeight="1" x14ac:dyDescent="0.25">
      <c r="A25" s="59" t="s">
        <v>62</v>
      </c>
      <c r="B25" s="45">
        <f>SUM(B13:B24)</f>
        <v>0</v>
      </c>
      <c r="C25" s="44">
        <f t="shared" ref="C25:Q25" si="3">SUM(C13:C24)</f>
        <v>0</v>
      </c>
      <c r="D25" s="44">
        <f t="shared" si="3"/>
        <v>0</v>
      </c>
      <c r="E25" s="44">
        <f t="shared" si="3"/>
        <v>0</v>
      </c>
      <c r="F25" s="44">
        <f t="shared" si="3"/>
        <v>0</v>
      </c>
      <c r="G25" s="152">
        <f t="shared" si="3"/>
        <v>0</v>
      </c>
      <c r="H25" s="44">
        <f t="shared" si="3"/>
        <v>0</v>
      </c>
      <c r="I25" s="44">
        <f t="shared" si="3"/>
        <v>0</v>
      </c>
      <c r="J25" s="44">
        <f t="shared" si="3"/>
        <v>0</v>
      </c>
      <c r="K25" s="44">
        <f t="shared" si="3"/>
        <v>0</v>
      </c>
      <c r="L25" s="44">
        <f t="shared" si="3"/>
        <v>0</v>
      </c>
      <c r="M25" s="152">
        <f>SUM(M13:M24)</f>
        <v>6499999.709999999</v>
      </c>
      <c r="N25" s="140">
        <f t="shared" si="3"/>
        <v>6499999.709999999</v>
      </c>
      <c r="O25" s="45">
        <f>SUM(O13:O24)</f>
        <v>6499999.709999999</v>
      </c>
      <c r="P25" s="44">
        <f t="shared" si="3"/>
        <v>6700000.0099999998</v>
      </c>
      <c r="Q25" s="107">
        <f t="shared" si="3"/>
        <v>7100000.0199999996</v>
      </c>
    </row>
    <row r="26" spans="1:17" ht="5.0999999999999996" customHeight="1" x14ac:dyDescent="0.25">
      <c r="A26" s="25"/>
      <c r="B26" s="28"/>
      <c r="C26" s="27"/>
      <c r="D26" s="27"/>
      <c r="E26" s="27"/>
      <c r="F26" s="27"/>
      <c r="G26" s="63"/>
      <c r="H26" s="27"/>
      <c r="I26" s="27"/>
      <c r="J26" s="27"/>
      <c r="K26" s="27"/>
      <c r="L26" s="27"/>
      <c r="M26" s="63"/>
      <c r="N26" s="97"/>
      <c r="O26" s="28"/>
      <c r="P26" s="27"/>
      <c r="Q26" s="106"/>
    </row>
    <row r="27" spans="1:17" ht="12.75" customHeight="1" x14ac:dyDescent="0.25">
      <c r="A27" s="22" t="s">
        <v>145</v>
      </c>
      <c r="B27" s="28"/>
      <c r="C27" s="27"/>
      <c r="D27" s="27"/>
      <c r="E27" s="27"/>
      <c r="F27" s="27"/>
      <c r="G27" s="63"/>
      <c r="H27" s="27"/>
      <c r="I27" s="27"/>
      <c r="J27" s="27"/>
      <c r="K27" s="27"/>
      <c r="L27" s="27"/>
      <c r="M27" s="63"/>
      <c r="N27" s="97"/>
      <c r="O27" s="28"/>
      <c r="P27" s="27"/>
      <c r="Q27" s="106"/>
    </row>
    <row r="28" spans="1:17" ht="12.75" customHeight="1" x14ac:dyDescent="0.25">
      <c r="A28" s="24" t="s">
        <v>254</v>
      </c>
      <c r="B28" s="284"/>
      <c r="C28" s="282"/>
      <c r="D28" s="282"/>
      <c r="E28" s="282"/>
      <c r="F28" s="282"/>
      <c r="G28" s="318"/>
      <c r="H28" s="282"/>
      <c r="I28" s="282"/>
      <c r="J28" s="282"/>
      <c r="K28" s="282"/>
      <c r="L28" s="282"/>
      <c r="M28" s="63">
        <f>O28-SUM(B28:L28)</f>
        <v>234701.3</v>
      </c>
      <c r="N28" s="97"/>
      <c r="O28" s="28">
        <f>'D3-Capex'!I31</f>
        <v>234701.3</v>
      </c>
      <c r="P28" s="27">
        <f>'D3-Capex'!J31</f>
        <v>248783</v>
      </c>
      <c r="Q28" s="106">
        <f>'D3-Capex'!K31</f>
        <v>2633709.98</v>
      </c>
    </row>
    <row r="29" spans="1:17" s="124" customFormat="1" ht="12.75" customHeight="1" x14ac:dyDescent="0.25">
      <c r="A29" s="59" t="s">
        <v>170</v>
      </c>
      <c r="B29" s="45">
        <f>SUM(B28:B28)</f>
        <v>0</v>
      </c>
      <c r="C29" s="44">
        <f t="shared" ref="C29:Q29" si="4">SUM(C28:C28)</f>
        <v>0</v>
      </c>
      <c r="D29" s="44">
        <f t="shared" si="4"/>
        <v>0</v>
      </c>
      <c r="E29" s="44">
        <f t="shared" si="4"/>
        <v>0</v>
      </c>
      <c r="F29" s="44">
        <f t="shared" si="4"/>
        <v>0</v>
      </c>
      <c r="G29" s="152">
        <f t="shared" si="4"/>
        <v>0</v>
      </c>
      <c r="H29" s="44">
        <f t="shared" si="4"/>
        <v>0</v>
      </c>
      <c r="I29" s="44">
        <f t="shared" si="4"/>
        <v>0</v>
      </c>
      <c r="J29" s="44">
        <f t="shared" si="4"/>
        <v>0</v>
      </c>
      <c r="K29" s="44">
        <f t="shared" si="4"/>
        <v>0</v>
      </c>
      <c r="L29" s="44">
        <f t="shared" si="4"/>
        <v>0</v>
      </c>
      <c r="M29" s="152">
        <f t="shared" si="4"/>
        <v>234701.3</v>
      </c>
      <c r="N29" s="140">
        <f t="shared" si="4"/>
        <v>0</v>
      </c>
      <c r="O29" s="45">
        <f t="shared" si="4"/>
        <v>234701.3</v>
      </c>
      <c r="P29" s="44">
        <f t="shared" si="4"/>
        <v>248783</v>
      </c>
      <c r="Q29" s="107">
        <f t="shared" si="4"/>
        <v>2633709.98</v>
      </c>
    </row>
    <row r="30" spans="1:17" ht="5.0999999999999996" customHeight="1" x14ac:dyDescent="0.25">
      <c r="A30" s="25"/>
      <c r="B30" s="28"/>
      <c r="C30" s="27"/>
      <c r="D30" s="27"/>
      <c r="E30" s="27"/>
      <c r="F30" s="27"/>
      <c r="G30" s="63"/>
      <c r="H30" s="27"/>
      <c r="I30" s="27"/>
      <c r="J30" s="27"/>
      <c r="K30" s="27"/>
      <c r="L30" s="27"/>
      <c r="M30" s="63"/>
      <c r="N30" s="97"/>
      <c r="O30" s="28"/>
      <c r="P30" s="27"/>
      <c r="Q30" s="106"/>
    </row>
    <row r="31" spans="1:17" ht="12.75" customHeight="1" x14ac:dyDescent="0.25">
      <c r="A31" s="22" t="s">
        <v>333</v>
      </c>
      <c r="B31" s="28"/>
      <c r="C31" s="27"/>
      <c r="D31" s="27"/>
      <c r="E31" s="27"/>
      <c r="F31" s="27"/>
      <c r="G31" s="63"/>
      <c r="H31" s="27"/>
      <c r="I31" s="27"/>
      <c r="J31" s="27"/>
      <c r="K31" s="27"/>
      <c r="L31" s="27"/>
      <c r="M31" s="63"/>
      <c r="N31" s="97"/>
      <c r="O31" s="28"/>
      <c r="P31" s="27"/>
      <c r="Q31" s="106"/>
    </row>
    <row r="32" spans="1:17" ht="12.75" customHeight="1" x14ac:dyDescent="0.25">
      <c r="A32" s="24" t="s">
        <v>250</v>
      </c>
      <c r="B32" s="284"/>
      <c r="C32" s="282"/>
      <c r="D32" s="282"/>
      <c r="E32" s="282"/>
      <c r="F32" s="282"/>
      <c r="G32" s="318"/>
      <c r="H32" s="282"/>
      <c r="I32" s="282"/>
      <c r="J32" s="282"/>
      <c r="K32" s="282"/>
      <c r="L32" s="282"/>
      <c r="M32" s="63">
        <f t="shared" ref="M32:M37" si="5">O32-SUM(B32:L32)</f>
        <v>6734701</v>
      </c>
      <c r="N32" s="97"/>
      <c r="O32" s="28">
        <f>'D5-CFlow'!I6</f>
        <v>6734701</v>
      </c>
      <c r="P32" s="27">
        <f>'D5-CFlow'!J6</f>
        <v>6948783</v>
      </c>
      <c r="Q32" s="106">
        <f>'D5-CFlow'!K6</f>
        <v>7363710</v>
      </c>
    </row>
    <row r="33" spans="1:17" ht="12.75" customHeight="1" x14ac:dyDescent="0.25">
      <c r="A33" s="24" t="s">
        <v>249</v>
      </c>
      <c r="B33" s="284"/>
      <c r="C33" s="282"/>
      <c r="D33" s="282"/>
      <c r="E33" s="282"/>
      <c r="F33" s="282"/>
      <c r="G33" s="318"/>
      <c r="H33" s="282"/>
      <c r="I33" s="282"/>
      <c r="J33" s="282"/>
      <c r="K33" s="282"/>
      <c r="L33" s="282"/>
      <c r="M33" s="63">
        <f t="shared" si="5"/>
        <v>0</v>
      </c>
      <c r="N33" s="97"/>
      <c r="O33" s="28">
        <f>'D5-CFlow'!I7+'D5-CFlow'!I8</f>
        <v>0</v>
      </c>
      <c r="P33" s="27">
        <f>'D5-CFlow'!J7+'D5-CFlow'!J8</f>
        <v>0</v>
      </c>
      <c r="Q33" s="106">
        <f>'D5-CFlow'!K7+'D5-CFlow'!K8</f>
        <v>0</v>
      </c>
    </row>
    <row r="34" spans="1:17" ht="12.75" customHeight="1" x14ac:dyDescent="0.25">
      <c r="A34" s="24" t="s">
        <v>400</v>
      </c>
      <c r="B34" s="284"/>
      <c r="C34" s="282"/>
      <c r="D34" s="282"/>
      <c r="E34" s="282"/>
      <c r="F34" s="282"/>
      <c r="G34" s="318"/>
      <c r="H34" s="282"/>
      <c r="I34" s="282"/>
      <c r="J34" s="282"/>
      <c r="K34" s="282"/>
      <c r="L34" s="282"/>
      <c r="M34" s="63">
        <f t="shared" si="5"/>
        <v>0</v>
      </c>
      <c r="N34" s="97"/>
      <c r="O34" s="28">
        <f>'D5-CFlow'!I9</f>
        <v>0</v>
      </c>
      <c r="P34" s="27">
        <f>'D5-CFlow'!J9</f>
        <v>0</v>
      </c>
      <c r="Q34" s="106">
        <f>'D5-CFlow'!K9</f>
        <v>0</v>
      </c>
    </row>
    <row r="35" spans="1:17" ht="12.75" customHeight="1" x14ac:dyDescent="0.25">
      <c r="A35" s="24" t="s">
        <v>504</v>
      </c>
      <c r="B35" s="284"/>
      <c r="C35" s="282"/>
      <c r="D35" s="282"/>
      <c r="E35" s="282"/>
      <c r="F35" s="282"/>
      <c r="G35" s="318"/>
      <c r="H35" s="282"/>
      <c r="I35" s="282"/>
      <c r="J35" s="282"/>
      <c r="K35" s="282"/>
      <c r="L35" s="282"/>
      <c r="M35" s="63">
        <f t="shared" si="5"/>
        <v>-6499999.709999999</v>
      </c>
      <c r="N35" s="97"/>
      <c r="O35" s="28">
        <f>'D5-CFlow'!I12</f>
        <v>-6499999.709999999</v>
      </c>
      <c r="P35" s="27">
        <f>'D5-CFlow'!J12</f>
        <v>-6700000.0099999998</v>
      </c>
      <c r="Q35" s="106">
        <f>'D5-CFlow'!K12</f>
        <v>-7100000.0199999996</v>
      </c>
    </row>
    <row r="36" spans="1:17" ht="12.75" customHeight="1" x14ac:dyDescent="0.25">
      <c r="A36" s="24" t="s">
        <v>29</v>
      </c>
      <c r="B36" s="284"/>
      <c r="C36" s="282"/>
      <c r="D36" s="282"/>
      <c r="E36" s="282"/>
      <c r="F36" s="282"/>
      <c r="G36" s="318"/>
      <c r="H36" s="282"/>
      <c r="I36" s="282"/>
      <c r="J36" s="282"/>
      <c r="K36" s="282"/>
      <c r="L36" s="282"/>
      <c r="M36" s="63">
        <f t="shared" si="5"/>
        <v>0</v>
      </c>
      <c r="N36" s="97"/>
      <c r="O36" s="28">
        <f>'D5-CFlow'!I13</f>
        <v>0</v>
      </c>
      <c r="P36" s="27">
        <f>'D5-CFlow'!J13</f>
        <v>0</v>
      </c>
      <c r="Q36" s="106">
        <f>'D5-CFlow'!K13</f>
        <v>0</v>
      </c>
    </row>
    <row r="37" spans="1:17" ht="12.75" customHeight="1" x14ac:dyDescent="0.25">
      <c r="A37" s="24" t="s">
        <v>403</v>
      </c>
      <c r="B37" s="284"/>
      <c r="C37" s="282"/>
      <c r="D37" s="282"/>
      <c r="E37" s="282"/>
      <c r="F37" s="282"/>
      <c r="G37" s="318"/>
      <c r="H37" s="282"/>
      <c r="I37" s="282"/>
      <c r="J37" s="282"/>
      <c r="K37" s="282"/>
      <c r="L37" s="282"/>
      <c r="M37" s="63">
        <f t="shared" si="5"/>
        <v>0</v>
      </c>
      <c r="N37" s="97"/>
      <c r="O37" s="28">
        <f>'D5-CFlow'!I14</f>
        <v>0</v>
      </c>
      <c r="P37" s="27">
        <f>'D5-CFlow'!J14</f>
        <v>0</v>
      </c>
      <c r="Q37" s="106">
        <f>'D5-CFlow'!K14</f>
        <v>0</v>
      </c>
    </row>
    <row r="38" spans="1:17" s="124" customFormat="1" ht="12.75" customHeight="1" x14ac:dyDescent="0.25">
      <c r="A38" s="59" t="s">
        <v>406</v>
      </c>
      <c r="B38" s="45">
        <f>SUM(B32:B37)</f>
        <v>0</v>
      </c>
      <c r="C38" s="44">
        <f t="shared" ref="C38:M38" si="6">SUM(C32:C37)</f>
        <v>0</v>
      </c>
      <c r="D38" s="44">
        <f t="shared" si="6"/>
        <v>0</v>
      </c>
      <c r="E38" s="44">
        <f t="shared" si="6"/>
        <v>0</v>
      </c>
      <c r="F38" s="44">
        <f t="shared" si="6"/>
        <v>0</v>
      </c>
      <c r="G38" s="152">
        <f t="shared" si="6"/>
        <v>0</v>
      </c>
      <c r="H38" s="44">
        <f t="shared" si="6"/>
        <v>0</v>
      </c>
      <c r="I38" s="44">
        <f t="shared" si="6"/>
        <v>0</v>
      </c>
      <c r="J38" s="44">
        <f t="shared" si="6"/>
        <v>0</v>
      </c>
      <c r="K38" s="44">
        <f t="shared" si="6"/>
        <v>0</v>
      </c>
      <c r="L38" s="44">
        <f t="shared" si="6"/>
        <v>0</v>
      </c>
      <c r="M38" s="152">
        <f t="shared" si="6"/>
        <v>234701.29000000097</v>
      </c>
      <c r="N38" s="140">
        <f>SUM(B38:M38)</f>
        <v>234701.29000000097</v>
      </c>
      <c r="O38" s="45">
        <f>SUM(O32:O37)</f>
        <v>234701.29000000097</v>
      </c>
      <c r="P38" s="44">
        <f>SUM(P32:P37)</f>
        <v>248782.99000000022</v>
      </c>
      <c r="Q38" s="107">
        <f>SUM(Q32:Q37)</f>
        <v>263709.98000000045</v>
      </c>
    </row>
    <row r="39" spans="1:17" s="124" customFormat="1" ht="5.0999999999999996" customHeight="1" x14ac:dyDescent="0.25">
      <c r="A39" s="55"/>
      <c r="B39" s="31"/>
      <c r="C39" s="30"/>
      <c r="D39" s="30"/>
      <c r="E39" s="30"/>
      <c r="F39" s="30"/>
      <c r="G39" s="65"/>
      <c r="H39" s="30"/>
      <c r="I39" s="30"/>
      <c r="J39" s="30"/>
      <c r="K39" s="30"/>
      <c r="L39" s="30"/>
      <c r="M39" s="65"/>
      <c r="N39" s="64"/>
      <c r="O39" s="31"/>
      <c r="P39" s="30"/>
      <c r="Q39" s="126"/>
    </row>
    <row r="40" spans="1:17" ht="12.75" customHeight="1" x14ac:dyDescent="0.25">
      <c r="A40" s="24" t="s">
        <v>404</v>
      </c>
      <c r="B40" s="284"/>
      <c r="C40" s="282"/>
      <c r="D40" s="282"/>
      <c r="E40" s="282"/>
      <c r="F40" s="282"/>
      <c r="G40" s="318"/>
      <c r="H40" s="282"/>
      <c r="I40" s="282"/>
      <c r="J40" s="282"/>
      <c r="K40" s="282"/>
      <c r="L40" s="282"/>
      <c r="M40" s="63">
        <f>O40-SUM(B40:L40)</f>
        <v>0</v>
      </c>
      <c r="N40" s="97"/>
      <c r="O40" s="28">
        <f>'D5-CFlow'!I21+'D5-CFlow'!I22</f>
        <v>0</v>
      </c>
      <c r="P40" s="27">
        <f>'D5-CFlow'!J21+'D5-CFlow'!J22</f>
        <v>0</v>
      </c>
      <c r="Q40" s="106">
        <f>'D5-CFlow'!K21+'D5-CFlow'!K22</f>
        <v>0</v>
      </c>
    </row>
    <row r="41" spans="1:17" ht="12.75" customHeight="1" x14ac:dyDescent="0.25">
      <c r="A41" s="24" t="s">
        <v>405</v>
      </c>
      <c r="B41" s="284"/>
      <c r="C41" s="282"/>
      <c r="D41" s="282"/>
      <c r="E41" s="282"/>
      <c r="F41" s="282"/>
      <c r="G41" s="318"/>
      <c r="H41" s="282"/>
      <c r="I41" s="282"/>
      <c r="J41" s="282"/>
      <c r="K41" s="282"/>
      <c r="L41" s="282"/>
      <c r="M41" s="63">
        <f>O41-SUM(B41:L41)</f>
        <v>0</v>
      </c>
      <c r="N41" s="97"/>
      <c r="O41" s="28">
        <f>'D5-CFlow'!I23</f>
        <v>0</v>
      </c>
      <c r="P41" s="27">
        <f>'D5-CFlow'!J23</f>
        <v>0</v>
      </c>
      <c r="Q41" s="106">
        <f>'D5-CFlow'!K23</f>
        <v>0</v>
      </c>
    </row>
    <row r="42" spans="1:17" ht="12.75" customHeight="1" x14ac:dyDescent="0.25">
      <c r="A42" s="24" t="s">
        <v>434</v>
      </c>
      <c r="B42" s="284"/>
      <c r="C42" s="282"/>
      <c r="D42" s="282"/>
      <c r="E42" s="282"/>
      <c r="F42" s="282"/>
      <c r="G42" s="318"/>
      <c r="H42" s="282"/>
      <c r="I42" s="282"/>
      <c r="J42" s="282"/>
      <c r="K42" s="282"/>
      <c r="L42" s="282"/>
      <c r="M42" s="63">
        <f>O42-SUM(B42:L42)</f>
        <v>-933000</v>
      </c>
      <c r="N42" s="97"/>
      <c r="O42" s="28">
        <f>'D5-CFlow'!I20</f>
        <v>-933000</v>
      </c>
      <c r="P42" s="27">
        <f>'D5-CFlow'!J20</f>
        <v>0</v>
      </c>
      <c r="Q42" s="106">
        <f>'D5-CFlow'!K20</f>
        <v>0</v>
      </c>
    </row>
    <row r="43" spans="1:17" ht="12.75" customHeight="1" x14ac:dyDescent="0.25">
      <c r="A43" s="24" t="s">
        <v>254</v>
      </c>
      <c r="B43" s="284"/>
      <c r="C43" s="282"/>
      <c r="D43" s="282"/>
      <c r="E43" s="282"/>
      <c r="F43" s="282"/>
      <c r="G43" s="318"/>
      <c r="H43" s="282"/>
      <c r="I43" s="282"/>
      <c r="J43" s="282"/>
      <c r="K43" s="282"/>
      <c r="L43" s="282"/>
      <c r="M43" s="63">
        <f>O43-SUM(B43:L43)</f>
        <v>0</v>
      </c>
      <c r="N43" s="97"/>
      <c r="O43" s="28">
        <f>'D5-CFlow'!I25</f>
        <v>0</v>
      </c>
      <c r="P43" s="27">
        <f>'D5-CFlow'!J25</f>
        <v>0</v>
      </c>
      <c r="Q43" s="106">
        <f>'D5-CFlow'!K25</f>
        <v>0</v>
      </c>
    </row>
    <row r="44" spans="1:17" s="124" customFormat="1" ht="12.75" customHeight="1" x14ac:dyDescent="0.25">
      <c r="A44" s="59" t="s">
        <v>407</v>
      </c>
      <c r="B44" s="45">
        <f>SUM(B40:B43)</f>
        <v>0</v>
      </c>
      <c r="C44" s="44">
        <f t="shared" ref="C44:M44" si="7">SUM(C40:C43)</f>
        <v>0</v>
      </c>
      <c r="D44" s="44">
        <f t="shared" si="7"/>
        <v>0</v>
      </c>
      <c r="E44" s="44">
        <f t="shared" si="7"/>
        <v>0</v>
      </c>
      <c r="F44" s="44">
        <f t="shared" si="7"/>
        <v>0</v>
      </c>
      <c r="G44" s="152">
        <f t="shared" si="7"/>
        <v>0</v>
      </c>
      <c r="H44" s="44">
        <f t="shared" si="7"/>
        <v>0</v>
      </c>
      <c r="I44" s="44">
        <f t="shared" si="7"/>
        <v>0</v>
      </c>
      <c r="J44" s="44">
        <f t="shared" si="7"/>
        <v>0</v>
      </c>
      <c r="K44" s="44">
        <f t="shared" si="7"/>
        <v>0</v>
      </c>
      <c r="L44" s="44">
        <f t="shared" si="7"/>
        <v>0</v>
      </c>
      <c r="M44" s="152">
        <f t="shared" si="7"/>
        <v>-933000</v>
      </c>
      <c r="N44" s="140">
        <f>SUM(B44:M44)</f>
        <v>-933000</v>
      </c>
      <c r="O44" s="45">
        <f>SUM(O40:O43)</f>
        <v>-933000</v>
      </c>
      <c r="P44" s="44">
        <f>SUM(P40:P43)</f>
        <v>0</v>
      </c>
      <c r="Q44" s="107">
        <f>SUM(Q40:Q43)</f>
        <v>0</v>
      </c>
    </row>
    <row r="45" spans="1:17" s="124" customFormat="1" ht="5.0999999999999996" customHeight="1" x14ac:dyDescent="0.25">
      <c r="A45" s="55"/>
      <c r="B45" s="31"/>
      <c r="C45" s="30"/>
      <c r="D45" s="30"/>
      <c r="E45" s="30"/>
      <c r="F45" s="30"/>
      <c r="G45" s="65"/>
      <c r="H45" s="30"/>
      <c r="I45" s="30"/>
      <c r="J45" s="30"/>
      <c r="K45" s="30"/>
      <c r="L45" s="30"/>
      <c r="M45" s="65"/>
      <c r="N45" s="64"/>
      <c r="O45" s="31"/>
      <c r="P45" s="30"/>
      <c r="Q45" s="126"/>
    </row>
    <row r="46" spans="1:17" ht="12.75" customHeight="1" x14ac:dyDescent="0.25">
      <c r="A46" s="24" t="s">
        <v>505</v>
      </c>
      <c r="B46" s="284"/>
      <c r="C46" s="282"/>
      <c r="D46" s="282"/>
      <c r="E46" s="282"/>
      <c r="F46" s="282"/>
      <c r="G46" s="318"/>
      <c r="H46" s="282"/>
      <c r="I46" s="282"/>
      <c r="J46" s="282"/>
      <c r="K46" s="282"/>
      <c r="L46" s="282"/>
      <c r="M46" s="63">
        <f>O46-SUM(B46:L46)</f>
        <v>0</v>
      </c>
      <c r="N46" s="97"/>
      <c r="O46" s="28">
        <f>SUM('D5-CFlow'!I30:I31)</f>
        <v>0</v>
      </c>
      <c r="P46" s="27">
        <f>SUM('D5-CFlow'!J30:J31)</f>
        <v>0</v>
      </c>
      <c r="Q46" s="106">
        <f>SUM('D5-CFlow'!K30:K31)</f>
        <v>0</v>
      </c>
    </row>
    <row r="47" spans="1:17" ht="12.75" customHeight="1" x14ac:dyDescent="0.25">
      <c r="A47" s="24" t="s">
        <v>415</v>
      </c>
      <c r="B47" s="284"/>
      <c r="C47" s="282"/>
      <c r="D47" s="282"/>
      <c r="E47" s="282"/>
      <c r="F47" s="282"/>
      <c r="G47" s="318"/>
      <c r="H47" s="282"/>
      <c r="I47" s="282"/>
      <c r="J47" s="282"/>
      <c r="K47" s="282"/>
      <c r="L47" s="282"/>
      <c r="M47" s="63">
        <f>O47-SUM(B47:L47)</f>
        <v>0</v>
      </c>
      <c r="N47" s="97"/>
      <c r="O47" s="28">
        <f>'D5-CFlow'!I34</f>
        <v>0</v>
      </c>
      <c r="P47" s="27">
        <f>'D5-CFlow'!J34</f>
        <v>0</v>
      </c>
      <c r="Q47" s="106">
        <f>'D5-CFlow'!K34</f>
        <v>0</v>
      </c>
    </row>
    <row r="48" spans="1:17" ht="12.75" customHeight="1" x14ac:dyDescent="0.25">
      <c r="A48" s="24" t="s">
        <v>375</v>
      </c>
      <c r="B48" s="284"/>
      <c r="C48" s="282"/>
      <c r="D48" s="282"/>
      <c r="E48" s="282"/>
      <c r="F48" s="282"/>
      <c r="G48" s="318"/>
      <c r="H48" s="282"/>
      <c r="I48" s="282"/>
      <c r="J48" s="282"/>
      <c r="K48" s="282"/>
      <c r="L48" s="282"/>
      <c r="M48" s="63">
        <f>O48-SUM(B48:L48)</f>
        <v>0</v>
      </c>
      <c r="N48" s="97"/>
      <c r="O48" s="28">
        <f>'D5-CFlow'!I32</f>
        <v>0</v>
      </c>
      <c r="P48" s="27">
        <f>'D5-CFlow'!J32</f>
        <v>0</v>
      </c>
      <c r="Q48" s="106">
        <f>'D5-CFlow'!K32</f>
        <v>0</v>
      </c>
    </row>
    <row r="49" spans="1:17" s="124" customFormat="1" ht="12.75" customHeight="1" x14ac:dyDescent="0.25">
      <c r="A49" s="59" t="s">
        <v>408</v>
      </c>
      <c r="B49" s="45">
        <f>SUM(B46:B48)</f>
        <v>0</v>
      </c>
      <c r="C49" s="44">
        <f t="shared" ref="C49:L49" si="8">SUM(C46:C48)</f>
        <v>0</v>
      </c>
      <c r="D49" s="44">
        <f t="shared" si="8"/>
        <v>0</v>
      </c>
      <c r="E49" s="44">
        <f t="shared" si="8"/>
        <v>0</v>
      </c>
      <c r="F49" s="44">
        <f t="shared" si="8"/>
        <v>0</v>
      </c>
      <c r="G49" s="152">
        <f t="shared" si="8"/>
        <v>0</v>
      </c>
      <c r="H49" s="44">
        <f t="shared" si="8"/>
        <v>0</v>
      </c>
      <c r="I49" s="44">
        <f t="shared" si="8"/>
        <v>0</v>
      </c>
      <c r="J49" s="44">
        <f t="shared" si="8"/>
        <v>0</v>
      </c>
      <c r="K49" s="44">
        <f t="shared" si="8"/>
        <v>0</v>
      </c>
      <c r="L49" s="44">
        <f t="shared" si="8"/>
        <v>0</v>
      </c>
      <c r="M49" s="152">
        <f>O49-SUM(B49:L49)</f>
        <v>0</v>
      </c>
      <c r="N49" s="140">
        <f>SUM(B49:M49)</f>
        <v>0</v>
      </c>
      <c r="O49" s="45">
        <f>SUM(O46:O48)</f>
        <v>0</v>
      </c>
      <c r="P49" s="44">
        <f>SUM(P46:P48)</f>
        <v>0</v>
      </c>
      <c r="Q49" s="107">
        <f>SUM(Q46:Q48)</f>
        <v>0</v>
      </c>
    </row>
    <row r="50" spans="1:17" s="124" customFormat="1" ht="5.0999999999999996" customHeight="1" x14ac:dyDescent="0.25">
      <c r="A50" s="55"/>
      <c r="B50" s="31"/>
      <c r="C50" s="30"/>
      <c r="D50" s="30"/>
      <c r="E50" s="30"/>
      <c r="F50" s="30"/>
      <c r="G50" s="65"/>
      <c r="H50" s="30"/>
      <c r="I50" s="30"/>
      <c r="J50" s="30"/>
      <c r="K50" s="30"/>
      <c r="L50" s="30"/>
      <c r="M50" s="65"/>
      <c r="N50" s="64"/>
      <c r="O50" s="31"/>
      <c r="P50" s="30"/>
      <c r="Q50" s="126"/>
    </row>
    <row r="51" spans="1:17" s="124" customFormat="1" ht="12.75" customHeight="1" x14ac:dyDescent="0.25">
      <c r="A51" s="32" t="s">
        <v>417</v>
      </c>
      <c r="B51" s="34">
        <f>B38+B44+B49</f>
        <v>0</v>
      </c>
      <c r="C51" s="33">
        <f t="shared" ref="C51:M51" si="9">C38+C44+C49</f>
        <v>0</v>
      </c>
      <c r="D51" s="33">
        <f t="shared" si="9"/>
        <v>0</v>
      </c>
      <c r="E51" s="33">
        <f t="shared" si="9"/>
        <v>0</v>
      </c>
      <c r="F51" s="33">
        <f t="shared" si="9"/>
        <v>0</v>
      </c>
      <c r="G51" s="51">
        <f t="shared" si="9"/>
        <v>0</v>
      </c>
      <c r="H51" s="33">
        <f t="shared" si="9"/>
        <v>0</v>
      </c>
      <c r="I51" s="33">
        <f t="shared" si="9"/>
        <v>0</v>
      </c>
      <c r="J51" s="33">
        <f t="shared" si="9"/>
        <v>0</v>
      </c>
      <c r="K51" s="33">
        <f t="shared" si="9"/>
        <v>0</v>
      </c>
      <c r="L51" s="33">
        <f t="shared" si="9"/>
        <v>0</v>
      </c>
      <c r="M51" s="51">
        <f t="shared" si="9"/>
        <v>-698298.70999999903</v>
      </c>
      <c r="N51" s="66">
        <f>SUM(N38:N49)</f>
        <v>-698298.70999999903</v>
      </c>
      <c r="O51" s="34">
        <f>O38+O44+O49</f>
        <v>-698298.70999999903</v>
      </c>
      <c r="P51" s="33">
        <f>P38+P44+P49</f>
        <v>248782.99000000022</v>
      </c>
      <c r="Q51" s="135">
        <f>Q38+Q44+Q49</f>
        <v>263709.98000000045</v>
      </c>
    </row>
    <row r="52" spans="1:17" x14ac:dyDescent="0.25">
      <c r="A52" s="71" t="s">
        <v>155</v>
      </c>
      <c r="O52" s="231">
        <f>O51-'D5-CFlow'!I37</f>
        <v>0</v>
      </c>
      <c r="P52" s="231">
        <f>P51-'D5-CFlow'!J37</f>
        <v>0</v>
      </c>
      <c r="Q52" s="231">
        <f>Q51-'D5-CFlow'!K37</f>
        <v>0</v>
      </c>
    </row>
    <row r="53" spans="1:17" x14ac:dyDescent="0.25">
      <c r="A53" s="71"/>
      <c r="O53" s="108"/>
      <c r="P53" s="108"/>
      <c r="Q53" s="108"/>
    </row>
  </sheetData>
  <sheetProtection sheet="1" objects="1" scenarios="1"/>
  <mergeCells count="4">
    <mergeCell ref="A2:A3"/>
    <mergeCell ref="O3:O4"/>
    <mergeCell ref="P3:P4"/>
    <mergeCell ref="Q3:Q4"/>
  </mergeCells>
  <phoneticPr fontId="2" type="noConversion"/>
  <printOptions horizontalCentered="1"/>
  <pageMargins left="0.37" right="0.17" top="0.79" bottom="0.62" header="0.51181102362204722" footer="0.41"/>
  <pageSetup paperSize="9" scale="82"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7">
    <tabColor rgb="FFCCFFCC"/>
    <pageSetUpPr fitToPage="1"/>
  </sheetPr>
  <dimension ref="A1:W124"/>
  <sheetViews>
    <sheetView showGridLines="0" workbookViewId="0">
      <pane xSplit="2" ySplit="4" topLeftCell="C48" activePane="bottomRight" state="frozen"/>
      <selection activeCell="G21" sqref="G21"/>
      <selection pane="topRight" activeCell="G21" sqref="G21"/>
      <selection pane="bottomLeft" activeCell="G21" sqref="G21"/>
      <selection pane="bottomRight" activeCell="M59" sqref="M59"/>
    </sheetView>
  </sheetViews>
  <sheetFormatPr defaultRowHeight="12.75" x14ac:dyDescent="0.25"/>
  <cols>
    <col min="1" max="1" width="35.7109375" style="20" customWidth="1"/>
    <col min="2" max="2" width="3.140625" style="43" customWidth="1"/>
    <col min="3" max="11" width="8.7109375" style="20" customWidth="1"/>
    <col min="12" max="12" width="9.85546875" style="20" customWidth="1"/>
    <col min="13" max="13" width="9.5703125" style="20" customWidth="1"/>
    <col min="14" max="14" width="9.85546875" style="20" customWidth="1"/>
    <col min="15" max="17" width="9.5703125" style="20" customWidth="1"/>
    <col min="18" max="18" width="9.85546875" style="20" customWidth="1"/>
    <col min="19" max="21" width="9.5703125" style="20" customWidth="1"/>
    <col min="22" max="23" width="9.85546875" style="20" customWidth="1"/>
    <col min="24" max="16384" width="9.140625" style="20"/>
  </cols>
  <sheetData>
    <row r="1" spans="1:12" ht="13.5" x14ac:dyDescent="0.25">
      <c r="A1" s="113" t="str">
        <f>MEB9a</f>
        <v>Greater Tzaneen Economic Development Agency (GTEDA) - Supporting Table SD7a Capital expenditure on new assets by asset class</v>
      </c>
    </row>
    <row r="2" spans="1:12" ht="25.5" x14ac:dyDescent="0.25">
      <c r="A2" s="621" t="str">
        <f>desc</f>
        <v>Description</v>
      </c>
      <c r="B2" s="623" t="str">
        <f>head27</f>
        <v>Ref</v>
      </c>
      <c r="C2" s="109" t="str">
        <f>head1b</f>
        <v>2012/13</v>
      </c>
      <c r="D2" s="21" t="str">
        <f>head1A</f>
        <v>2013/14</v>
      </c>
      <c r="E2" s="103" t="str">
        <f>Head1</f>
        <v>2014/15</v>
      </c>
      <c r="F2" s="133" t="str">
        <f>Head2</f>
        <v>Current Year 2015/16</v>
      </c>
      <c r="G2" s="131"/>
      <c r="H2" s="132"/>
      <c r="I2" s="133" t="str">
        <f>Head3a</f>
        <v>Medium Term Revenue and Expenditure Framework</v>
      </c>
      <c r="J2" s="131"/>
      <c r="K2" s="132"/>
    </row>
    <row r="3" spans="1:12" x14ac:dyDescent="0.25">
      <c r="A3" s="622"/>
      <c r="B3" s="624"/>
      <c r="C3" s="625" t="str">
        <f>Head5</f>
        <v>Audited Outcome</v>
      </c>
      <c r="D3" s="627" t="str">
        <f>Head5</f>
        <v>Audited Outcome</v>
      </c>
      <c r="E3" s="636" t="str">
        <f>Head5</f>
        <v>Audited Outcome</v>
      </c>
      <c r="F3" s="632" t="str">
        <f>Head6</f>
        <v>Original Budget</v>
      </c>
      <c r="G3" s="634" t="str">
        <f>Head7</f>
        <v>Adjusted Budget</v>
      </c>
      <c r="H3" s="636" t="str">
        <f>Head8</f>
        <v>Full Year Forecast</v>
      </c>
      <c r="I3" s="632" t="str">
        <f>Head9</f>
        <v>Budget Year 2016/17</v>
      </c>
      <c r="J3" s="634" t="str">
        <f>Head10</f>
        <v>Budget Year +1 2017/18</v>
      </c>
      <c r="K3" s="636" t="str">
        <f>Head11</f>
        <v>Budget Year +2 2018/19</v>
      </c>
    </row>
    <row r="4" spans="1:12" x14ac:dyDescent="0.25">
      <c r="A4" s="153" t="s">
        <v>225</v>
      </c>
      <c r="B4" s="142">
        <v>1</v>
      </c>
      <c r="C4" s="626"/>
      <c r="D4" s="628"/>
      <c r="E4" s="637"/>
      <c r="F4" s="633"/>
      <c r="G4" s="635"/>
      <c r="H4" s="637"/>
      <c r="I4" s="633"/>
      <c r="J4" s="635"/>
      <c r="K4" s="637"/>
    </row>
    <row r="5" spans="1:12" ht="12.75" customHeight="1" x14ac:dyDescent="0.25">
      <c r="A5" s="22" t="s">
        <v>981</v>
      </c>
      <c r="B5" s="115"/>
      <c r="C5" s="28"/>
      <c r="D5" s="27"/>
      <c r="E5" s="106"/>
      <c r="F5" s="28"/>
      <c r="G5" s="27"/>
      <c r="H5" s="106"/>
      <c r="I5" s="28"/>
      <c r="J5" s="27"/>
      <c r="K5" s="106"/>
    </row>
    <row r="6" spans="1:12" ht="5.0999999999999996" customHeight="1" x14ac:dyDescent="0.25">
      <c r="A6" s="22"/>
      <c r="B6" s="115"/>
      <c r="C6" s="28"/>
      <c r="D6" s="27"/>
      <c r="E6" s="106"/>
      <c r="F6" s="28"/>
      <c r="G6" s="27"/>
      <c r="H6" s="106"/>
      <c r="I6" s="28"/>
      <c r="J6" s="27"/>
      <c r="K6" s="106"/>
    </row>
    <row r="7" spans="1:12" ht="11.25" customHeight="1" x14ac:dyDescent="0.25">
      <c r="A7" s="414" t="s">
        <v>201</v>
      </c>
      <c r="B7" s="423"/>
      <c r="C7" s="400">
        <f t="shared" ref="C7:K7" si="0">C8+C11+C15+C19+C22</f>
        <v>0</v>
      </c>
      <c r="D7" s="400">
        <f t="shared" si="0"/>
        <v>0</v>
      </c>
      <c r="E7" s="401">
        <f t="shared" si="0"/>
        <v>0</v>
      </c>
      <c r="F7" s="399">
        <f t="shared" si="0"/>
        <v>0</v>
      </c>
      <c r="G7" s="400">
        <f t="shared" si="0"/>
        <v>0</v>
      </c>
      <c r="H7" s="398">
        <f t="shared" si="0"/>
        <v>0</v>
      </c>
      <c r="I7" s="399">
        <f t="shared" si="0"/>
        <v>0</v>
      </c>
      <c r="J7" s="400">
        <f t="shared" si="0"/>
        <v>0</v>
      </c>
      <c r="K7" s="401">
        <f t="shared" si="0"/>
        <v>0</v>
      </c>
    </row>
    <row r="8" spans="1:12" s="593" customFormat="1" ht="13.5" x14ac:dyDescent="0.25">
      <c r="A8" s="383" t="s">
        <v>588</v>
      </c>
      <c r="B8" s="423"/>
      <c r="C8" s="563">
        <f>SUM(C9:C10)</f>
        <v>0</v>
      </c>
      <c r="D8" s="563">
        <f t="shared" ref="D8:K8" si="1">SUM(D9:D10)</f>
        <v>0</v>
      </c>
      <c r="E8" s="564">
        <f t="shared" si="1"/>
        <v>0</v>
      </c>
      <c r="F8" s="565">
        <f t="shared" si="1"/>
        <v>0</v>
      </c>
      <c r="G8" s="563">
        <f t="shared" si="1"/>
        <v>0</v>
      </c>
      <c r="H8" s="566">
        <f t="shared" si="1"/>
        <v>0</v>
      </c>
      <c r="I8" s="567">
        <f t="shared" si="1"/>
        <v>0</v>
      </c>
      <c r="J8" s="563">
        <f t="shared" si="1"/>
        <v>0</v>
      </c>
      <c r="K8" s="566">
        <f t="shared" si="1"/>
        <v>0</v>
      </c>
      <c r="L8" s="20"/>
    </row>
    <row r="9" spans="1:12" s="593" customFormat="1" ht="13.5" x14ac:dyDescent="0.25">
      <c r="A9" s="416" t="s">
        <v>589</v>
      </c>
      <c r="B9" s="423"/>
      <c r="C9" s="282"/>
      <c r="D9" s="282"/>
      <c r="E9" s="417"/>
      <c r="F9" s="418"/>
      <c r="G9" s="282"/>
      <c r="H9" s="319"/>
      <c r="I9" s="418"/>
      <c r="J9" s="282"/>
      <c r="K9" s="417"/>
      <c r="L9" s="20"/>
    </row>
    <row r="10" spans="1:12" s="593" customFormat="1" ht="13.5" x14ac:dyDescent="0.25">
      <c r="A10" s="416" t="s">
        <v>590</v>
      </c>
      <c r="B10" s="423"/>
      <c r="C10" s="282"/>
      <c r="D10" s="282"/>
      <c r="E10" s="417"/>
      <c r="F10" s="418"/>
      <c r="G10" s="282"/>
      <c r="H10" s="319"/>
      <c r="I10" s="418"/>
      <c r="J10" s="282"/>
      <c r="K10" s="417"/>
      <c r="L10" s="20"/>
    </row>
    <row r="11" spans="1:12" s="593" customFormat="1" ht="13.5" x14ac:dyDescent="0.25">
      <c r="A11" s="383" t="s">
        <v>591</v>
      </c>
      <c r="B11" s="423"/>
      <c r="C11" s="568">
        <f>SUM(C12:C14)</f>
        <v>0</v>
      </c>
      <c r="D11" s="568">
        <f t="shared" ref="D11:K11" si="2">SUM(D12:D14)</f>
        <v>0</v>
      </c>
      <c r="E11" s="569">
        <f t="shared" si="2"/>
        <v>0</v>
      </c>
      <c r="F11" s="570">
        <f t="shared" si="2"/>
        <v>0</v>
      </c>
      <c r="G11" s="568">
        <f t="shared" si="2"/>
        <v>0</v>
      </c>
      <c r="H11" s="571">
        <f t="shared" si="2"/>
        <v>0</v>
      </c>
      <c r="I11" s="572">
        <f t="shared" si="2"/>
        <v>0</v>
      </c>
      <c r="J11" s="568">
        <f t="shared" si="2"/>
        <v>0</v>
      </c>
      <c r="K11" s="571">
        <f t="shared" si="2"/>
        <v>0</v>
      </c>
      <c r="L11" s="20"/>
    </row>
    <row r="12" spans="1:12" s="593" customFormat="1" ht="13.5" x14ac:dyDescent="0.25">
      <c r="A12" s="416" t="s">
        <v>592</v>
      </c>
      <c r="B12" s="423"/>
      <c r="C12" s="282"/>
      <c r="D12" s="282"/>
      <c r="E12" s="318"/>
      <c r="F12" s="284"/>
      <c r="G12" s="282"/>
      <c r="H12" s="283"/>
      <c r="I12" s="419"/>
      <c r="J12" s="282"/>
      <c r="K12" s="283"/>
      <c r="L12" s="20"/>
    </row>
    <row r="13" spans="1:12" s="593" customFormat="1" ht="13.5" x14ac:dyDescent="0.25">
      <c r="A13" s="416" t="s">
        <v>593</v>
      </c>
      <c r="B13" s="423"/>
      <c r="C13" s="282"/>
      <c r="D13" s="282"/>
      <c r="E13" s="318"/>
      <c r="F13" s="284"/>
      <c r="G13" s="282"/>
      <c r="H13" s="283"/>
      <c r="I13" s="419"/>
      <c r="J13" s="282"/>
      <c r="K13" s="283"/>
      <c r="L13" s="20"/>
    </row>
    <row r="14" spans="1:12" s="593" customFormat="1" ht="13.5" x14ac:dyDescent="0.25">
      <c r="A14" s="416" t="s">
        <v>64</v>
      </c>
      <c r="B14" s="423"/>
      <c r="C14" s="282"/>
      <c r="D14" s="282"/>
      <c r="E14" s="318"/>
      <c r="F14" s="284"/>
      <c r="G14" s="282"/>
      <c r="H14" s="283"/>
      <c r="I14" s="419"/>
      <c r="J14" s="282"/>
      <c r="K14" s="283"/>
      <c r="L14" s="20"/>
    </row>
    <row r="15" spans="1:12" s="593" customFormat="1" ht="13.5" x14ac:dyDescent="0.25">
      <c r="A15" s="382" t="s">
        <v>594</v>
      </c>
      <c r="B15" s="424"/>
      <c r="C15" s="568">
        <f>SUM(C16:C18)</f>
        <v>0</v>
      </c>
      <c r="D15" s="568">
        <f t="shared" ref="D15:K15" si="3">SUM(D16:D18)</f>
        <v>0</v>
      </c>
      <c r="E15" s="569">
        <f t="shared" si="3"/>
        <v>0</v>
      </c>
      <c r="F15" s="570">
        <f t="shared" si="3"/>
        <v>0</v>
      </c>
      <c r="G15" s="568">
        <f t="shared" si="3"/>
        <v>0</v>
      </c>
      <c r="H15" s="571">
        <f t="shared" si="3"/>
        <v>0</v>
      </c>
      <c r="I15" s="572">
        <f t="shared" si="3"/>
        <v>0</v>
      </c>
      <c r="J15" s="568">
        <f t="shared" si="3"/>
        <v>0</v>
      </c>
      <c r="K15" s="571">
        <f t="shared" si="3"/>
        <v>0</v>
      </c>
      <c r="L15" s="20"/>
    </row>
    <row r="16" spans="1:12" s="593" customFormat="1" ht="13.5" x14ac:dyDescent="0.25">
      <c r="A16" s="416" t="s">
        <v>595</v>
      </c>
      <c r="B16" s="423"/>
      <c r="C16" s="282"/>
      <c r="D16" s="282"/>
      <c r="E16" s="318"/>
      <c r="F16" s="284"/>
      <c r="G16" s="282"/>
      <c r="H16" s="283"/>
      <c r="I16" s="419"/>
      <c r="J16" s="282"/>
      <c r="K16" s="283"/>
      <c r="L16" s="20"/>
    </row>
    <row r="17" spans="1:12" s="593" customFormat="1" ht="13.5" x14ac:dyDescent="0.25">
      <c r="A17" s="416" t="s">
        <v>596</v>
      </c>
      <c r="B17" s="423"/>
      <c r="C17" s="282"/>
      <c r="D17" s="282"/>
      <c r="E17" s="318"/>
      <c r="F17" s="284"/>
      <c r="G17" s="282"/>
      <c r="H17" s="283"/>
      <c r="I17" s="419"/>
      <c r="J17" s="282"/>
      <c r="K17" s="283"/>
      <c r="L17" s="20"/>
    </row>
    <row r="18" spans="1:12" s="593" customFormat="1" ht="13.5" x14ac:dyDescent="0.25">
      <c r="A18" s="416" t="s">
        <v>597</v>
      </c>
      <c r="B18" s="423"/>
      <c r="C18" s="282"/>
      <c r="D18" s="282"/>
      <c r="E18" s="318"/>
      <c r="F18" s="284"/>
      <c r="G18" s="282"/>
      <c r="H18" s="283"/>
      <c r="I18" s="419"/>
      <c r="J18" s="282"/>
      <c r="K18" s="283"/>
      <c r="L18" s="20"/>
    </row>
    <row r="19" spans="1:12" s="593" customFormat="1" ht="13.5" x14ac:dyDescent="0.25">
      <c r="A19" s="382" t="s">
        <v>598</v>
      </c>
      <c r="B19" s="423"/>
      <c r="C19" s="568">
        <f t="shared" ref="C19:K19" si="4">SUM(C20:C21)</f>
        <v>0</v>
      </c>
      <c r="D19" s="568">
        <f t="shared" si="4"/>
        <v>0</v>
      </c>
      <c r="E19" s="569">
        <f t="shared" si="4"/>
        <v>0</v>
      </c>
      <c r="F19" s="570">
        <f t="shared" si="4"/>
        <v>0</v>
      </c>
      <c r="G19" s="568">
        <f t="shared" si="4"/>
        <v>0</v>
      </c>
      <c r="H19" s="571">
        <f t="shared" si="4"/>
        <v>0</v>
      </c>
      <c r="I19" s="572">
        <f t="shared" si="4"/>
        <v>0</v>
      </c>
      <c r="J19" s="568">
        <f t="shared" si="4"/>
        <v>0</v>
      </c>
      <c r="K19" s="571">
        <f t="shared" si="4"/>
        <v>0</v>
      </c>
      <c r="L19" s="20"/>
    </row>
    <row r="20" spans="1:12" s="593" customFormat="1" ht="13.5" x14ac:dyDescent="0.25">
      <c r="A20" s="416" t="s">
        <v>597</v>
      </c>
      <c r="B20" s="423"/>
      <c r="C20" s="282"/>
      <c r="D20" s="282"/>
      <c r="E20" s="318"/>
      <c r="F20" s="284"/>
      <c r="G20" s="282"/>
      <c r="H20" s="283"/>
      <c r="I20" s="419"/>
      <c r="J20" s="282"/>
      <c r="K20" s="283"/>
      <c r="L20" s="20"/>
    </row>
    <row r="21" spans="1:12" s="593" customFormat="1" ht="13.5" x14ac:dyDescent="0.25">
      <c r="A21" s="416" t="s">
        <v>599</v>
      </c>
      <c r="B21" s="423"/>
      <c r="C21" s="282"/>
      <c r="D21" s="282"/>
      <c r="E21" s="318"/>
      <c r="F21" s="284"/>
      <c r="G21" s="282"/>
      <c r="H21" s="283"/>
      <c r="I21" s="419"/>
      <c r="J21" s="282"/>
      <c r="K21" s="283"/>
      <c r="L21" s="20"/>
    </row>
    <row r="22" spans="1:12" s="593" customFormat="1" ht="13.5" x14ac:dyDescent="0.25">
      <c r="A22" s="383" t="s">
        <v>600</v>
      </c>
      <c r="B22" s="423"/>
      <c r="C22" s="568">
        <f>SUM(C23:C26)</f>
        <v>0</v>
      </c>
      <c r="D22" s="568">
        <f t="shared" ref="D22:K22" si="5">SUM(D23:D26)</f>
        <v>0</v>
      </c>
      <c r="E22" s="568">
        <f t="shared" si="5"/>
        <v>0</v>
      </c>
      <c r="F22" s="570">
        <f t="shared" si="5"/>
        <v>0</v>
      </c>
      <c r="G22" s="568">
        <f t="shared" si="5"/>
        <v>0</v>
      </c>
      <c r="H22" s="571">
        <f t="shared" si="5"/>
        <v>0</v>
      </c>
      <c r="I22" s="572">
        <f t="shared" si="5"/>
        <v>0</v>
      </c>
      <c r="J22" s="568">
        <f t="shared" si="5"/>
        <v>0</v>
      </c>
      <c r="K22" s="571">
        <f t="shared" si="5"/>
        <v>0</v>
      </c>
      <c r="L22" s="20"/>
    </row>
    <row r="23" spans="1:12" s="593" customFormat="1" ht="13.5" x14ac:dyDescent="0.25">
      <c r="A23" s="416" t="s">
        <v>601</v>
      </c>
      <c r="B23" s="423"/>
      <c r="C23" s="282"/>
      <c r="D23" s="282"/>
      <c r="E23" s="319"/>
      <c r="F23" s="418"/>
      <c r="G23" s="282"/>
      <c r="H23" s="319"/>
      <c r="I23" s="418"/>
      <c r="J23" s="282"/>
      <c r="K23" s="283"/>
      <c r="L23" s="20"/>
    </row>
    <row r="24" spans="1:12" s="593" customFormat="1" ht="13.5" x14ac:dyDescent="0.25">
      <c r="A24" s="416" t="s">
        <v>602</v>
      </c>
      <c r="B24" s="423">
        <v>2</v>
      </c>
      <c r="C24" s="282"/>
      <c r="D24" s="282"/>
      <c r="E24" s="417"/>
      <c r="F24" s="418"/>
      <c r="G24" s="282"/>
      <c r="H24" s="319"/>
      <c r="I24" s="418"/>
      <c r="J24" s="282"/>
      <c r="K24" s="283"/>
      <c r="L24" s="20"/>
    </row>
    <row r="25" spans="1:12" s="593" customFormat="1" ht="13.5" x14ac:dyDescent="0.25">
      <c r="A25" s="416" t="s">
        <v>65</v>
      </c>
      <c r="B25" s="423"/>
      <c r="C25" s="282"/>
      <c r="D25" s="282"/>
      <c r="E25" s="417"/>
      <c r="F25" s="418"/>
      <c r="G25" s="282"/>
      <c r="H25" s="319"/>
      <c r="I25" s="418"/>
      <c r="J25" s="282"/>
      <c r="K25" s="417"/>
      <c r="L25" s="20"/>
    </row>
    <row r="26" spans="1:12" s="593" customFormat="1" ht="13.5" x14ac:dyDescent="0.25">
      <c r="A26" s="416" t="s">
        <v>279</v>
      </c>
      <c r="B26" s="423">
        <v>3</v>
      </c>
      <c r="C26" s="282"/>
      <c r="D26" s="282"/>
      <c r="E26" s="417"/>
      <c r="F26" s="418"/>
      <c r="G26" s="282"/>
      <c r="H26" s="319"/>
      <c r="I26" s="418"/>
      <c r="J26" s="282"/>
      <c r="K26" s="417"/>
      <c r="L26" s="20"/>
    </row>
    <row r="27" spans="1:12" ht="5.0999999999999996" customHeight="1" x14ac:dyDescent="0.25">
      <c r="A27" s="25"/>
      <c r="B27" s="115"/>
      <c r="C27" s="28"/>
      <c r="D27" s="27"/>
      <c r="E27" s="106"/>
      <c r="F27" s="28"/>
      <c r="G27" s="27"/>
      <c r="H27" s="106"/>
      <c r="I27" s="28"/>
      <c r="J27" s="27"/>
      <c r="K27" s="106"/>
    </row>
    <row r="28" spans="1:12" ht="12.75" customHeight="1" x14ac:dyDescent="0.25">
      <c r="A28" s="22" t="s">
        <v>418</v>
      </c>
      <c r="B28" s="115"/>
      <c r="C28" s="261">
        <f t="shared" ref="C28:K28" si="6">SUM(C29:C42)</f>
        <v>0</v>
      </c>
      <c r="D28" s="259">
        <f t="shared" si="6"/>
        <v>0</v>
      </c>
      <c r="E28" s="260">
        <f t="shared" si="6"/>
        <v>0</v>
      </c>
      <c r="F28" s="261">
        <f t="shared" si="6"/>
        <v>0</v>
      </c>
      <c r="G28" s="259">
        <f t="shared" si="6"/>
        <v>0</v>
      </c>
      <c r="H28" s="260">
        <f t="shared" si="6"/>
        <v>0</v>
      </c>
      <c r="I28" s="261">
        <f t="shared" si="6"/>
        <v>0</v>
      </c>
      <c r="J28" s="259">
        <f t="shared" si="6"/>
        <v>0</v>
      </c>
      <c r="K28" s="260">
        <f t="shared" si="6"/>
        <v>0</v>
      </c>
    </row>
    <row r="29" spans="1:12" ht="12.75" customHeight="1" x14ac:dyDescent="0.25">
      <c r="A29" s="383" t="s">
        <v>603</v>
      </c>
      <c r="B29" s="115"/>
      <c r="C29" s="284"/>
      <c r="D29" s="282"/>
      <c r="E29" s="283"/>
      <c r="F29" s="284"/>
      <c r="G29" s="282"/>
      <c r="H29" s="283"/>
      <c r="I29" s="284"/>
      <c r="J29" s="282"/>
      <c r="K29" s="283"/>
    </row>
    <row r="30" spans="1:12" ht="12.75" customHeight="1" x14ac:dyDescent="0.25">
      <c r="A30" s="383" t="s">
        <v>604</v>
      </c>
      <c r="B30" s="115"/>
      <c r="C30" s="284"/>
      <c r="D30" s="282"/>
      <c r="E30" s="283"/>
      <c r="F30" s="284"/>
      <c r="G30" s="282"/>
      <c r="H30" s="283"/>
      <c r="I30" s="284"/>
      <c r="J30" s="282"/>
      <c r="K30" s="283"/>
    </row>
    <row r="31" spans="1:12" ht="12.75" customHeight="1" x14ac:dyDescent="0.25">
      <c r="A31" s="383" t="s">
        <v>605</v>
      </c>
      <c r="B31" s="115"/>
      <c r="C31" s="284"/>
      <c r="D31" s="282"/>
      <c r="E31" s="283"/>
      <c r="F31" s="284"/>
      <c r="G31" s="282"/>
      <c r="H31" s="283"/>
      <c r="I31" s="284"/>
      <c r="J31" s="282"/>
      <c r="K31" s="283"/>
    </row>
    <row r="32" spans="1:12" ht="12.75" customHeight="1" x14ac:dyDescent="0.25">
      <c r="A32" s="383" t="s">
        <v>606</v>
      </c>
      <c r="B32" s="115"/>
      <c r="C32" s="284"/>
      <c r="D32" s="282"/>
      <c r="E32" s="283"/>
      <c r="F32" s="284"/>
      <c r="G32" s="282"/>
      <c r="H32" s="283"/>
      <c r="I32" s="284"/>
      <c r="J32" s="282"/>
      <c r="K32" s="283"/>
    </row>
    <row r="33" spans="1:11" ht="12.75" customHeight="1" x14ac:dyDescent="0.25">
      <c r="A33" s="383" t="s">
        <v>117</v>
      </c>
      <c r="B33" s="115"/>
      <c r="C33" s="284"/>
      <c r="D33" s="282"/>
      <c r="E33" s="283"/>
      <c r="F33" s="284"/>
      <c r="G33" s="282"/>
      <c r="H33" s="283"/>
      <c r="I33" s="284"/>
      <c r="J33" s="282"/>
      <c r="K33" s="283"/>
    </row>
    <row r="34" spans="1:11" ht="12.75" customHeight="1" x14ac:dyDescent="0.25">
      <c r="A34" s="383" t="s">
        <v>607</v>
      </c>
      <c r="B34" s="115"/>
      <c r="C34" s="284"/>
      <c r="D34" s="282"/>
      <c r="E34" s="283"/>
      <c r="F34" s="284"/>
      <c r="G34" s="282"/>
      <c r="H34" s="283"/>
      <c r="I34" s="284"/>
      <c r="J34" s="282"/>
      <c r="K34" s="283"/>
    </row>
    <row r="35" spans="1:11" ht="12.75" customHeight="1" x14ac:dyDescent="0.25">
      <c r="A35" s="383" t="s">
        <v>608</v>
      </c>
      <c r="B35" s="115"/>
      <c r="C35" s="284"/>
      <c r="D35" s="282"/>
      <c r="E35" s="283"/>
      <c r="F35" s="284"/>
      <c r="G35" s="282"/>
      <c r="H35" s="283"/>
      <c r="I35" s="284"/>
      <c r="J35" s="282"/>
      <c r="K35" s="283"/>
    </row>
    <row r="36" spans="1:11" ht="12.75" customHeight="1" x14ac:dyDescent="0.25">
      <c r="A36" s="383" t="s">
        <v>609</v>
      </c>
      <c r="B36" s="115"/>
      <c r="C36" s="284"/>
      <c r="D36" s="282"/>
      <c r="E36" s="283"/>
      <c r="F36" s="284"/>
      <c r="G36" s="282"/>
      <c r="H36" s="283"/>
      <c r="I36" s="284"/>
      <c r="J36" s="282"/>
      <c r="K36" s="283"/>
    </row>
    <row r="37" spans="1:11" ht="12.75" customHeight="1" x14ac:dyDescent="0.25">
      <c r="A37" s="383" t="s">
        <v>160</v>
      </c>
      <c r="B37" s="115"/>
      <c r="C37" s="284"/>
      <c r="D37" s="282"/>
      <c r="E37" s="283"/>
      <c r="F37" s="284"/>
      <c r="G37" s="282"/>
      <c r="H37" s="283"/>
      <c r="I37" s="284"/>
      <c r="J37" s="282"/>
      <c r="K37" s="283"/>
    </row>
    <row r="38" spans="1:11" ht="12.75" customHeight="1" x14ac:dyDescent="0.25">
      <c r="A38" s="383" t="s">
        <v>323</v>
      </c>
      <c r="B38" s="115"/>
      <c r="C38" s="284"/>
      <c r="D38" s="282"/>
      <c r="E38" s="283"/>
      <c r="F38" s="284"/>
      <c r="G38" s="282"/>
      <c r="H38" s="283"/>
      <c r="I38" s="284"/>
      <c r="J38" s="282"/>
      <c r="K38" s="283"/>
    </row>
    <row r="39" spans="1:11" ht="12.75" customHeight="1" x14ac:dyDescent="0.25">
      <c r="A39" s="383" t="s">
        <v>324</v>
      </c>
      <c r="B39" s="115"/>
      <c r="C39" s="284"/>
      <c r="D39" s="282"/>
      <c r="E39" s="283"/>
      <c r="F39" s="284"/>
      <c r="G39" s="282"/>
      <c r="H39" s="283"/>
      <c r="I39" s="284"/>
      <c r="J39" s="282"/>
      <c r="K39" s="283"/>
    </row>
    <row r="40" spans="1:11" ht="12.75" customHeight="1" x14ac:dyDescent="0.25">
      <c r="A40" s="383" t="s">
        <v>610</v>
      </c>
      <c r="B40" s="115"/>
      <c r="C40" s="284"/>
      <c r="D40" s="282"/>
      <c r="E40" s="283"/>
      <c r="F40" s="284"/>
      <c r="G40" s="282"/>
      <c r="H40" s="283"/>
      <c r="I40" s="284"/>
      <c r="J40" s="282"/>
      <c r="K40" s="283"/>
    </row>
    <row r="41" spans="1:11" ht="12.75" customHeight="1" x14ac:dyDescent="0.25">
      <c r="A41" s="383" t="s">
        <v>611</v>
      </c>
      <c r="B41" s="115"/>
      <c r="C41" s="284"/>
      <c r="D41" s="282"/>
      <c r="E41" s="283"/>
      <c r="F41" s="284"/>
      <c r="G41" s="282"/>
      <c r="H41" s="283"/>
      <c r="I41" s="284"/>
      <c r="J41" s="282"/>
      <c r="K41" s="283"/>
    </row>
    <row r="42" spans="1:11" ht="12.75" customHeight="1" x14ac:dyDescent="0.25">
      <c r="A42" s="24" t="s">
        <v>279</v>
      </c>
      <c r="B42" s="115"/>
      <c r="C42" s="284"/>
      <c r="D42" s="282"/>
      <c r="E42" s="283"/>
      <c r="F42" s="284"/>
      <c r="G42" s="282"/>
      <c r="H42" s="283"/>
      <c r="I42" s="284"/>
      <c r="J42" s="282"/>
      <c r="K42" s="283"/>
    </row>
    <row r="43" spans="1:11" ht="5.0999999999999996" customHeight="1" x14ac:dyDescent="0.25">
      <c r="A43" s="25"/>
      <c r="B43" s="115"/>
      <c r="C43" s="28"/>
      <c r="D43" s="27"/>
      <c r="E43" s="106"/>
      <c r="F43" s="28"/>
      <c r="G43" s="27"/>
      <c r="H43" s="106"/>
      <c r="I43" s="28"/>
      <c r="J43" s="27"/>
      <c r="K43" s="106"/>
    </row>
    <row r="44" spans="1:11" ht="17.25" customHeight="1" x14ac:dyDescent="0.25">
      <c r="A44" s="414" t="s">
        <v>226</v>
      </c>
      <c r="B44" s="423"/>
      <c r="C44" s="27">
        <f>SUM(C45:C46)</f>
        <v>0</v>
      </c>
      <c r="D44" s="27">
        <f t="shared" ref="D44:K44" si="7">SUM(D45:D46)</f>
        <v>0</v>
      </c>
      <c r="E44" s="421">
        <f t="shared" si="7"/>
        <v>0</v>
      </c>
      <c r="F44" s="422">
        <f t="shared" si="7"/>
        <v>0</v>
      </c>
      <c r="G44" s="27">
        <f t="shared" si="7"/>
        <v>0</v>
      </c>
      <c r="H44" s="26">
        <f t="shared" si="7"/>
        <v>0</v>
      </c>
      <c r="I44" s="422">
        <f t="shared" si="7"/>
        <v>0</v>
      </c>
      <c r="J44" s="27">
        <f t="shared" si="7"/>
        <v>0</v>
      </c>
      <c r="K44" s="421">
        <f t="shared" si="7"/>
        <v>0</v>
      </c>
    </row>
    <row r="45" spans="1:11" ht="11.25" customHeight="1" x14ac:dyDescent="0.25">
      <c r="A45" s="383" t="s">
        <v>612</v>
      </c>
      <c r="B45" s="423"/>
      <c r="C45" s="425"/>
      <c r="D45" s="425"/>
      <c r="E45" s="426"/>
      <c r="F45" s="427"/>
      <c r="G45" s="425"/>
      <c r="H45" s="428"/>
      <c r="I45" s="427"/>
      <c r="J45" s="425"/>
      <c r="K45" s="426"/>
    </row>
    <row r="46" spans="1:11" ht="11.25" customHeight="1" x14ac:dyDescent="0.25">
      <c r="A46" s="382" t="s">
        <v>279</v>
      </c>
      <c r="B46" s="423"/>
      <c r="C46" s="429"/>
      <c r="D46" s="429"/>
      <c r="E46" s="430"/>
      <c r="F46" s="431"/>
      <c r="G46" s="429"/>
      <c r="H46" s="432"/>
      <c r="I46" s="431"/>
      <c r="J46" s="429"/>
      <c r="K46" s="430"/>
    </row>
    <row r="47" spans="1:11" ht="5.0999999999999996" customHeight="1" x14ac:dyDescent="0.25">
      <c r="A47" s="420"/>
      <c r="B47" s="423"/>
      <c r="C47" s="27"/>
      <c r="D47" s="27"/>
      <c r="E47" s="421"/>
      <c r="F47" s="422"/>
      <c r="G47" s="27"/>
      <c r="H47" s="26"/>
      <c r="I47" s="422"/>
      <c r="J47" s="27"/>
      <c r="K47" s="421"/>
    </row>
    <row r="48" spans="1:11" ht="17.25" customHeight="1" x14ac:dyDescent="0.25">
      <c r="A48" s="414" t="s">
        <v>227</v>
      </c>
      <c r="B48" s="423"/>
      <c r="C48" s="30">
        <f>SUM(C49:C50)</f>
        <v>0</v>
      </c>
      <c r="D48" s="30">
        <f t="shared" ref="D48:K48" si="8">SUM(D49:D50)</f>
        <v>0</v>
      </c>
      <c r="E48" s="433">
        <f t="shared" si="8"/>
        <v>0</v>
      </c>
      <c r="F48" s="434">
        <f t="shared" si="8"/>
        <v>0</v>
      </c>
      <c r="G48" s="30">
        <f t="shared" si="8"/>
        <v>0</v>
      </c>
      <c r="H48" s="29">
        <f t="shared" si="8"/>
        <v>0</v>
      </c>
      <c r="I48" s="434">
        <f t="shared" si="8"/>
        <v>0</v>
      </c>
      <c r="J48" s="30">
        <f t="shared" si="8"/>
        <v>0</v>
      </c>
      <c r="K48" s="433">
        <f t="shared" si="8"/>
        <v>0</v>
      </c>
    </row>
    <row r="49" spans="1:11" ht="11.25" customHeight="1" x14ac:dyDescent="0.25">
      <c r="A49" s="383" t="s">
        <v>613</v>
      </c>
      <c r="B49" s="423"/>
      <c r="C49" s="435"/>
      <c r="D49" s="435"/>
      <c r="E49" s="436"/>
      <c r="F49" s="437"/>
      <c r="G49" s="435"/>
      <c r="H49" s="438"/>
      <c r="I49" s="437"/>
      <c r="J49" s="435"/>
      <c r="K49" s="436"/>
    </row>
    <row r="50" spans="1:11" ht="11.25" customHeight="1" x14ac:dyDescent="0.25">
      <c r="A50" s="383" t="s">
        <v>279</v>
      </c>
      <c r="B50" s="423"/>
      <c r="C50" s="285"/>
      <c r="D50" s="285"/>
      <c r="E50" s="439"/>
      <c r="F50" s="440"/>
      <c r="G50" s="285"/>
      <c r="H50" s="441"/>
      <c r="I50" s="440"/>
      <c r="J50" s="285"/>
      <c r="K50" s="439"/>
    </row>
    <row r="51" spans="1:11" ht="5.0999999999999996" customHeight="1" x14ac:dyDescent="0.25">
      <c r="A51" s="420"/>
      <c r="B51" s="423"/>
      <c r="C51" s="27"/>
      <c r="D51" s="27"/>
      <c r="E51" s="421"/>
      <c r="F51" s="422"/>
      <c r="G51" s="27"/>
      <c r="H51" s="26"/>
      <c r="I51" s="422"/>
      <c r="J51" s="27"/>
      <c r="K51" s="421"/>
    </row>
    <row r="52" spans="1:11" ht="12.75" customHeight="1" x14ac:dyDescent="0.25">
      <c r="A52" s="22" t="s">
        <v>228</v>
      </c>
      <c r="B52" s="115"/>
      <c r="C52" s="31">
        <f t="shared" ref="C52:K52" si="9">SUM(C53:C64)</f>
        <v>41089</v>
      </c>
      <c r="D52" s="30">
        <f t="shared" si="9"/>
        <v>51914</v>
      </c>
      <c r="E52" s="126">
        <f t="shared" si="9"/>
        <v>133284</v>
      </c>
      <c r="F52" s="31">
        <f t="shared" si="9"/>
        <v>0</v>
      </c>
      <c r="G52" s="30">
        <f t="shared" si="9"/>
        <v>0</v>
      </c>
      <c r="H52" s="126">
        <f t="shared" si="9"/>
        <v>0</v>
      </c>
      <c r="I52" s="31">
        <f t="shared" si="9"/>
        <v>25000</v>
      </c>
      <c r="J52" s="30">
        <f t="shared" si="9"/>
        <v>27500</v>
      </c>
      <c r="K52" s="126">
        <f t="shared" si="9"/>
        <v>25450.75</v>
      </c>
    </row>
    <row r="53" spans="1:11" ht="12.75" customHeight="1" x14ac:dyDescent="0.25">
      <c r="A53" s="382" t="s">
        <v>614</v>
      </c>
      <c r="B53" s="115"/>
      <c r="C53" s="284"/>
      <c r="D53" s="282"/>
      <c r="E53" s="283"/>
      <c r="F53" s="284"/>
      <c r="G53" s="282"/>
      <c r="H53" s="283"/>
      <c r="I53" s="284"/>
      <c r="J53" s="282"/>
      <c r="K53" s="283"/>
    </row>
    <row r="54" spans="1:11" ht="12.75" customHeight="1" x14ac:dyDescent="0.25">
      <c r="A54" s="382" t="s">
        <v>278</v>
      </c>
      <c r="B54" s="115"/>
      <c r="C54" s="284"/>
      <c r="D54" s="282"/>
      <c r="E54" s="283"/>
      <c r="F54" s="284"/>
      <c r="G54" s="282"/>
      <c r="H54" s="283"/>
      <c r="I54" s="284"/>
      <c r="J54" s="282"/>
      <c r="K54" s="283"/>
    </row>
    <row r="55" spans="1:11" ht="12.75" customHeight="1" x14ac:dyDescent="0.25">
      <c r="A55" s="382" t="s">
        <v>19</v>
      </c>
      <c r="B55" s="115"/>
      <c r="C55" s="284"/>
      <c r="D55" s="282"/>
      <c r="E55" s="283"/>
      <c r="F55" s="284"/>
      <c r="G55" s="282"/>
      <c r="H55" s="283"/>
      <c r="I55" s="284"/>
      <c r="J55" s="282"/>
      <c r="K55" s="283"/>
    </row>
    <row r="56" spans="1:11" ht="12.75" customHeight="1" x14ac:dyDescent="0.25">
      <c r="A56" s="382" t="s">
        <v>615</v>
      </c>
      <c r="B56" s="115"/>
      <c r="C56" s="284"/>
      <c r="D56" s="282"/>
      <c r="E56" s="283"/>
      <c r="F56" s="284"/>
      <c r="G56" s="282"/>
      <c r="H56" s="283"/>
      <c r="I56" s="284"/>
      <c r="J56" s="282"/>
      <c r="K56" s="283"/>
    </row>
    <row r="57" spans="1:11" ht="12.75" customHeight="1" x14ac:dyDescent="0.25">
      <c r="A57" s="382" t="s">
        <v>616</v>
      </c>
      <c r="B57" s="115"/>
      <c r="C57" s="284">
        <v>41089</v>
      </c>
      <c r="D57" s="282">
        <v>51914</v>
      </c>
      <c r="E57" s="283">
        <v>133284</v>
      </c>
      <c r="F57" s="284">
        <v>0</v>
      </c>
      <c r="G57" s="282">
        <f>[5]Sheet1!$I$71</f>
        <v>0</v>
      </c>
      <c r="H57" s="283"/>
      <c r="I57" s="284">
        <f>[6]Sheet1!$K$76</f>
        <v>25000</v>
      </c>
      <c r="J57" s="282">
        <f>[6]Sheet1!$M$76</f>
        <v>27500</v>
      </c>
      <c r="K57" s="283">
        <f>[6]Sheet1!$O$76</f>
        <v>25450.75</v>
      </c>
    </row>
    <row r="58" spans="1:11" ht="12.75" customHeight="1" x14ac:dyDescent="0.25">
      <c r="A58" s="382" t="s">
        <v>20</v>
      </c>
      <c r="B58" s="115"/>
      <c r="C58" s="284"/>
      <c r="D58" s="282"/>
      <c r="E58" s="283"/>
      <c r="F58" s="284"/>
      <c r="G58" s="282"/>
      <c r="H58" s="283"/>
      <c r="I58" s="284"/>
      <c r="J58" s="282"/>
      <c r="K58" s="283"/>
    </row>
    <row r="59" spans="1:11" ht="12.75" customHeight="1" x14ac:dyDescent="0.25">
      <c r="A59" s="382" t="s">
        <v>21</v>
      </c>
      <c r="B59" s="115"/>
      <c r="C59" s="284"/>
      <c r="D59" s="282"/>
      <c r="E59" s="283"/>
      <c r="F59" s="284"/>
      <c r="G59" s="282"/>
      <c r="H59" s="283"/>
      <c r="I59" s="284"/>
      <c r="J59" s="282"/>
      <c r="K59" s="283"/>
    </row>
    <row r="60" spans="1:11" ht="12.75" customHeight="1" x14ac:dyDescent="0.25">
      <c r="A60" s="382" t="s">
        <v>156</v>
      </c>
      <c r="B60" s="115"/>
      <c r="C60" s="284"/>
      <c r="D60" s="282"/>
      <c r="E60" s="283"/>
      <c r="F60" s="284"/>
      <c r="G60" s="282"/>
      <c r="H60" s="283"/>
      <c r="I60" s="284"/>
      <c r="J60" s="282"/>
      <c r="K60" s="283"/>
    </row>
    <row r="61" spans="1:11" ht="12.75" customHeight="1" x14ac:dyDescent="0.25">
      <c r="A61" s="382" t="s">
        <v>617</v>
      </c>
      <c r="B61" s="115"/>
      <c r="C61" s="284"/>
      <c r="D61" s="282"/>
      <c r="E61" s="283"/>
      <c r="F61" s="284"/>
      <c r="G61" s="282"/>
      <c r="H61" s="283"/>
      <c r="I61" s="284"/>
      <c r="J61" s="282"/>
      <c r="K61" s="283"/>
    </row>
    <row r="62" spans="1:11" ht="12.75" customHeight="1" x14ac:dyDescent="0.25">
      <c r="A62" s="382" t="s">
        <v>618</v>
      </c>
      <c r="B62" s="115"/>
      <c r="C62" s="284"/>
      <c r="D62" s="282"/>
      <c r="E62" s="283"/>
      <c r="F62" s="284"/>
      <c r="G62" s="282"/>
      <c r="H62" s="283"/>
      <c r="I62" s="284"/>
      <c r="J62" s="282"/>
      <c r="K62" s="283"/>
    </row>
    <row r="63" spans="1:11" ht="12.75" customHeight="1" x14ac:dyDescent="0.25">
      <c r="A63" s="382" t="s">
        <v>619</v>
      </c>
      <c r="B63" s="115"/>
      <c r="C63" s="284"/>
      <c r="D63" s="282"/>
      <c r="E63" s="283"/>
      <c r="F63" s="284"/>
      <c r="G63" s="282"/>
      <c r="H63" s="283"/>
      <c r="I63" s="284"/>
      <c r="J63" s="282"/>
      <c r="K63" s="283"/>
    </row>
    <row r="64" spans="1:11" ht="12.75" customHeight="1" x14ac:dyDescent="0.25">
      <c r="A64" s="24" t="s">
        <v>279</v>
      </c>
      <c r="B64" s="115"/>
      <c r="C64" s="284"/>
      <c r="D64" s="282"/>
      <c r="E64" s="283"/>
      <c r="F64" s="284"/>
      <c r="G64" s="282"/>
      <c r="H64" s="283"/>
      <c r="I64" s="284"/>
      <c r="J64" s="282"/>
      <c r="K64" s="283"/>
    </row>
    <row r="65" spans="1:23" ht="5.0999999999999996" customHeight="1" x14ac:dyDescent="0.25">
      <c r="A65" s="442"/>
      <c r="B65" s="423"/>
      <c r="C65" s="27"/>
      <c r="D65" s="27"/>
      <c r="E65" s="421"/>
      <c r="F65" s="422"/>
      <c r="G65" s="27"/>
      <c r="H65" s="26"/>
      <c r="I65" s="422"/>
      <c r="J65" s="27"/>
      <c r="K65" s="421"/>
    </row>
    <row r="66" spans="1:23" ht="17.25" customHeight="1" x14ac:dyDescent="0.25">
      <c r="A66" s="414" t="s">
        <v>649</v>
      </c>
      <c r="B66" s="423"/>
      <c r="C66" s="27">
        <f>SUM(C67:C68)</f>
        <v>0</v>
      </c>
      <c r="D66" s="27">
        <f t="shared" ref="D66:K66" si="10">SUM(D67:D68)</f>
        <v>0</v>
      </c>
      <c r="E66" s="421">
        <f t="shared" si="10"/>
        <v>0</v>
      </c>
      <c r="F66" s="422">
        <f t="shared" si="10"/>
        <v>0</v>
      </c>
      <c r="G66" s="27">
        <f t="shared" si="10"/>
        <v>0</v>
      </c>
      <c r="H66" s="26">
        <f t="shared" si="10"/>
        <v>0</v>
      </c>
      <c r="I66" s="422">
        <f t="shared" si="10"/>
        <v>0</v>
      </c>
      <c r="J66" s="27">
        <f t="shared" si="10"/>
        <v>0</v>
      </c>
      <c r="K66" s="421">
        <f t="shared" si="10"/>
        <v>0</v>
      </c>
    </row>
    <row r="67" spans="1:23" ht="11.25" customHeight="1" x14ac:dyDescent="0.25">
      <c r="A67" s="443" t="s">
        <v>364</v>
      </c>
      <c r="B67" s="423"/>
      <c r="C67" s="435"/>
      <c r="D67" s="435"/>
      <c r="E67" s="436"/>
      <c r="F67" s="437"/>
      <c r="G67" s="435"/>
      <c r="H67" s="438"/>
      <c r="I67" s="437"/>
      <c r="J67" s="435"/>
      <c r="K67" s="436"/>
    </row>
    <row r="68" spans="1:23" ht="11.25" customHeight="1" x14ac:dyDescent="0.25">
      <c r="A68" s="443"/>
      <c r="B68" s="423"/>
      <c r="C68" s="285"/>
      <c r="D68" s="285"/>
      <c r="E68" s="439"/>
      <c r="F68" s="440"/>
      <c r="G68" s="285"/>
      <c r="H68" s="441"/>
      <c r="I68" s="440"/>
      <c r="J68" s="285"/>
      <c r="K68" s="439"/>
    </row>
    <row r="69" spans="1:23" ht="5.0999999999999996" customHeight="1" x14ac:dyDescent="0.25">
      <c r="A69" s="442"/>
      <c r="B69" s="423"/>
      <c r="C69" s="27"/>
      <c r="D69" s="27"/>
      <c r="E69" s="421"/>
      <c r="F69" s="422"/>
      <c r="G69" s="27"/>
      <c r="H69" s="26"/>
      <c r="I69" s="422"/>
      <c r="J69" s="27"/>
      <c r="K69" s="421"/>
    </row>
    <row r="70" spans="1:23" ht="17.25" customHeight="1" x14ac:dyDescent="0.25">
      <c r="A70" s="414" t="s">
        <v>40</v>
      </c>
      <c r="B70" s="423"/>
      <c r="C70" s="27">
        <f>SUM(C71:C72)</f>
        <v>0</v>
      </c>
      <c r="D70" s="27">
        <f t="shared" ref="D70:K70" si="11">SUM(D71:D72)</f>
        <v>0</v>
      </c>
      <c r="E70" s="421">
        <f t="shared" si="11"/>
        <v>0</v>
      </c>
      <c r="F70" s="422">
        <f t="shared" si="11"/>
        <v>0</v>
      </c>
      <c r="G70" s="27">
        <f t="shared" si="11"/>
        <v>0</v>
      </c>
      <c r="H70" s="26">
        <f t="shared" si="11"/>
        <v>0</v>
      </c>
      <c r="I70" s="422">
        <f t="shared" si="11"/>
        <v>0</v>
      </c>
      <c r="J70" s="27">
        <f t="shared" si="11"/>
        <v>0</v>
      </c>
      <c r="K70" s="421">
        <f t="shared" si="11"/>
        <v>0</v>
      </c>
    </row>
    <row r="71" spans="1:23" ht="11.25" customHeight="1" x14ac:dyDescent="0.25">
      <c r="A71" s="443" t="s">
        <v>364</v>
      </c>
      <c r="B71" s="423"/>
      <c r="C71" s="435"/>
      <c r="D71" s="435"/>
      <c r="E71" s="436"/>
      <c r="F71" s="437"/>
      <c r="G71" s="435"/>
      <c r="H71" s="438"/>
      <c r="I71" s="437"/>
      <c r="J71" s="435"/>
      <c r="K71" s="436"/>
    </row>
    <row r="72" spans="1:23" ht="11.25" customHeight="1" x14ac:dyDescent="0.25">
      <c r="A72" s="443"/>
      <c r="B72" s="423"/>
      <c r="C72" s="285"/>
      <c r="D72" s="285"/>
      <c r="E72" s="439"/>
      <c r="F72" s="440"/>
      <c r="G72" s="285"/>
      <c r="H72" s="441"/>
      <c r="I72" s="440"/>
      <c r="J72" s="285"/>
      <c r="K72" s="439"/>
    </row>
    <row r="73" spans="1:23" ht="5.0999999999999996" customHeight="1" x14ac:dyDescent="0.25">
      <c r="A73" s="25"/>
      <c r="B73" s="115"/>
      <c r="C73" s="28"/>
      <c r="D73" s="27"/>
      <c r="E73" s="106"/>
      <c r="F73" s="28"/>
      <c r="G73" s="27"/>
      <c r="H73" s="106"/>
      <c r="I73" s="28"/>
      <c r="J73" s="27"/>
      <c r="K73" s="106"/>
    </row>
    <row r="74" spans="1:23" ht="17.25" customHeight="1" x14ac:dyDescent="0.25">
      <c r="A74" s="414" t="s">
        <v>68</v>
      </c>
      <c r="B74" s="423"/>
      <c r="C74" s="27">
        <f>SUM(C75:C76)</f>
        <v>0</v>
      </c>
      <c r="D74" s="27">
        <f t="shared" ref="D74:K74" si="12">SUM(D75:D76)</f>
        <v>0</v>
      </c>
      <c r="E74" s="421">
        <f t="shared" si="12"/>
        <v>0</v>
      </c>
      <c r="F74" s="422">
        <f t="shared" si="12"/>
        <v>0</v>
      </c>
      <c r="G74" s="27">
        <f t="shared" si="12"/>
        <v>0</v>
      </c>
      <c r="H74" s="26">
        <f t="shared" si="12"/>
        <v>0</v>
      </c>
      <c r="I74" s="422">
        <f t="shared" si="12"/>
        <v>0</v>
      </c>
      <c r="J74" s="27">
        <f t="shared" si="12"/>
        <v>0</v>
      </c>
      <c r="K74" s="421">
        <f t="shared" si="12"/>
        <v>0</v>
      </c>
    </row>
    <row r="75" spans="1:23" ht="11.25" customHeight="1" x14ac:dyDescent="0.25">
      <c r="A75" s="382" t="s">
        <v>199</v>
      </c>
      <c r="B75" s="423"/>
      <c r="C75" s="435"/>
      <c r="D75" s="435"/>
      <c r="E75" s="436"/>
      <c r="F75" s="437"/>
      <c r="G75" s="435"/>
      <c r="H75" s="438"/>
      <c r="I75" s="437"/>
      <c r="J75" s="435"/>
      <c r="K75" s="436"/>
    </row>
    <row r="76" spans="1:23" ht="11.25" customHeight="1" x14ac:dyDescent="0.25">
      <c r="A76" s="587" t="s">
        <v>620</v>
      </c>
      <c r="B76" s="423"/>
      <c r="C76" s="285"/>
      <c r="D76" s="285"/>
      <c r="E76" s="439"/>
      <c r="F76" s="440"/>
      <c r="G76" s="285"/>
      <c r="H76" s="441"/>
      <c r="I76" s="440"/>
      <c r="J76" s="285"/>
      <c r="K76" s="439"/>
    </row>
    <row r="77" spans="1:23" ht="5.0999999999999996" customHeight="1" x14ac:dyDescent="0.25">
      <c r="A77" s="420"/>
      <c r="B77" s="423"/>
      <c r="C77" s="30"/>
      <c r="D77" s="30"/>
      <c r="E77" s="433"/>
      <c r="F77" s="434"/>
      <c r="G77" s="30"/>
      <c r="H77" s="29"/>
      <c r="I77" s="434"/>
      <c r="J77" s="30"/>
      <c r="K77" s="433"/>
    </row>
    <row r="78" spans="1:23" ht="12.75" customHeight="1" x14ac:dyDescent="0.25">
      <c r="A78" s="32" t="s">
        <v>982</v>
      </c>
      <c r="B78" s="136">
        <v>1</v>
      </c>
      <c r="C78" s="34">
        <f>C7+C28+C44+C48+C52+C66+C70+C74</f>
        <v>41089</v>
      </c>
      <c r="D78" s="33">
        <f t="shared" ref="D78:K78" si="13">D7+D28+D44+D48+D52+D66+D70+D74</f>
        <v>51914</v>
      </c>
      <c r="E78" s="135">
        <f t="shared" si="13"/>
        <v>133284</v>
      </c>
      <c r="F78" s="34">
        <f t="shared" si="13"/>
        <v>0</v>
      </c>
      <c r="G78" s="33">
        <f t="shared" si="13"/>
        <v>0</v>
      </c>
      <c r="H78" s="135">
        <f t="shared" si="13"/>
        <v>0</v>
      </c>
      <c r="I78" s="34">
        <f t="shared" si="13"/>
        <v>25000</v>
      </c>
      <c r="J78" s="33">
        <f t="shared" si="13"/>
        <v>27500</v>
      </c>
      <c r="K78" s="135">
        <f t="shared" si="13"/>
        <v>25450.75</v>
      </c>
      <c r="M78" s="39"/>
      <c r="N78" s="39"/>
      <c r="O78" s="39"/>
      <c r="P78" s="39"/>
      <c r="Q78" s="39"/>
      <c r="R78" s="39"/>
      <c r="S78" s="39"/>
      <c r="T78" s="39"/>
      <c r="U78" s="39"/>
      <c r="V78" s="39"/>
      <c r="W78" s="39"/>
    </row>
    <row r="79" spans="1:23" ht="12.75" customHeight="1" x14ac:dyDescent="0.25">
      <c r="A79" s="38"/>
      <c r="B79" s="444"/>
      <c r="C79" s="29"/>
      <c r="D79" s="29"/>
      <c r="E79" s="29"/>
      <c r="F79" s="29"/>
      <c r="G79" s="29"/>
      <c r="H79" s="29"/>
      <c r="I79" s="29"/>
      <c r="J79" s="29"/>
      <c r="K79" s="29"/>
      <c r="M79" s="39"/>
      <c r="N79" s="39"/>
      <c r="O79" s="39"/>
      <c r="P79" s="39"/>
      <c r="Q79" s="39"/>
      <c r="R79" s="39"/>
      <c r="S79" s="39"/>
      <c r="T79" s="39"/>
      <c r="U79" s="39"/>
      <c r="V79" s="39"/>
      <c r="W79" s="39"/>
    </row>
    <row r="80" spans="1:23" ht="12.75" customHeight="1" x14ac:dyDescent="0.25">
      <c r="A80" s="445" t="s">
        <v>278</v>
      </c>
      <c r="B80" s="446"/>
      <c r="C80" s="447">
        <f t="shared" ref="C80:K80" si="14">SUM(C81:C84)</f>
        <v>0</v>
      </c>
      <c r="D80" s="448">
        <f t="shared" si="14"/>
        <v>0</v>
      </c>
      <c r="E80" s="449">
        <f t="shared" si="14"/>
        <v>0</v>
      </c>
      <c r="F80" s="447">
        <f t="shared" si="14"/>
        <v>0</v>
      </c>
      <c r="G80" s="448">
        <f t="shared" si="14"/>
        <v>0</v>
      </c>
      <c r="H80" s="449">
        <f t="shared" si="14"/>
        <v>0</v>
      </c>
      <c r="I80" s="447">
        <f t="shared" si="14"/>
        <v>0</v>
      </c>
      <c r="J80" s="448">
        <f t="shared" si="14"/>
        <v>0</v>
      </c>
      <c r="K80" s="449">
        <f t="shared" si="14"/>
        <v>0</v>
      </c>
    </row>
    <row r="81" spans="1:23" ht="12.75" customHeight="1" x14ac:dyDescent="0.25">
      <c r="A81" s="24" t="s">
        <v>119</v>
      </c>
      <c r="B81" s="115"/>
      <c r="C81" s="284"/>
      <c r="D81" s="282"/>
      <c r="E81" s="283"/>
      <c r="F81" s="284"/>
      <c r="G81" s="282"/>
      <c r="H81" s="283"/>
      <c r="I81" s="284"/>
      <c r="J81" s="282"/>
      <c r="K81" s="283"/>
    </row>
    <row r="82" spans="1:23" ht="12.75" customHeight="1" x14ac:dyDescent="0.25">
      <c r="A82" s="24" t="s">
        <v>157</v>
      </c>
      <c r="B82" s="115"/>
      <c r="C82" s="284"/>
      <c r="D82" s="282"/>
      <c r="E82" s="283"/>
      <c r="F82" s="284"/>
      <c r="G82" s="282"/>
      <c r="H82" s="283"/>
      <c r="I82" s="284"/>
      <c r="J82" s="282"/>
      <c r="K82" s="283"/>
    </row>
    <row r="83" spans="1:23" ht="12.75" customHeight="1" x14ac:dyDescent="0.25">
      <c r="A83" s="24" t="s">
        <v>158</v>
      </c>
      <c r="B83" s="115"/>
      <c r="C83" s="284"/>
      <c r="D83" s="282"/>
      <c r="E83" s="283"/>
      <c r="F83" s="284"/>
      <c r="G83" s="282"/>
      <c r="H83" s="283"/>
      <c r="I83" s="284"/>
      <c r="J83" s="282"/>
      <c r="K83" s="283"/>
    </row>
    <row r="84" spans="1:23" ht="12.75" customHeight="1" x14ac:dyDescent="0.25">
      <c r="A84" s="365" t="s">
        <v>159</v>
      </c>
      <c r="B84" s="366"/>
      <c r="C84" s="306"/>
      <c r="D84" s="307"/>
      <c r="E84" s="308"/>
      <c r="F84" s="306"/>
      <c r="G84" s="307"/>
      <c r="H84" s="308"/>
      <c r="I84" s="306"/>
      <c r="J84" s="307"/>
      <c r="K84" s="308"/>
    </row>
    <row r="85" spans="1:23" ht="12.75" customHeight="1" x14ac:dyDescent="0.25">
      <c r="A85" s="38"/>
      <c r="B85" s="36"/>
      <c r="C85" s="29"/>
      <c r="D85" s="29"/>
      <c r="E85" s="29"/>
      <c r="F85" s="29"/>
      <c r="G85" s="29"/>
      <c r="H85" s="29"/>
      <c r="I85" s="29"/>
      <c r="J85" s="29"/>
      <c r="K85" s="29"/>
      <c r="L85" s="39"/>
      <c r="M85" s="39"/>
      <c r="N85" s="39"/>
      <c r="O85" s="39"/>
      <c r="P85" s="39"/>
      <c r="Q85" s="39"/>
      <c r="R85" s="39"/>
      <c r="S85" s="39"/>
      <c r="T85" s="39"/>
      <c r="U85" s="39"/>
      <c r="V85" s="39"/>
      <c r="W85" s="39"/>
    </row>
    <row r="86" spans="1:23" ht="12.75" customHeight="1" x14ac:dyDescent="0.25">
      <c r="A86" s="35" t="str">
        <f>head27a</f>
        <v>References</v>
      </c>
      <c r="B86" s="36"/>
      <c r="C86" s="39"/>
      <c r="D86" s="39"/>
      <c r="E86" s="39"/>
      <c r="F86" s="39"/>
      <c r="G86" s="39"/>
      <c r="H86" s="39"/>
      <c r="I86" s="39"/>
      <c r="J86" s="39"/>
      <c r="K86" s="39"/>
    </row>
    <row r="87" spans="1:23" ht="12.75" customHeight="1" x14ac:dyDescent="0.25">
      <c r="A87" s="47" t="s">
        <v>987</v>
      </c>
      <c r="B87" s="36"/>
      <c r="C87" s="38"/>
      <c r="D87" s="38"/>
      <c r="E87" s="39"/>
      <c r="F87" s="39"/>
      <c r="G87" s="39"/>
      <c r="H87" s="39"/>
      <c r="I87" s="39"/>
      <c r="J87" s="39"/>
      <c r="K87" s="39"/>
    </row>
    <row r="88" spans="1:23" ht="11.25" customHeight="1" x14ac:dyDescent="0.25">
      <c r="A88" s="42"/>
      <c r="B88" s="36"/>
      <c r="C88" s="38"/>
      <c r="D88" s="38"/>
      <c r="E88" s="39"/>
      <c r="F88" s="39"/>
      <c r="G88" s="39"/>
      <c r="H88" s="39"/>
      <c r="I88" s="39"/>
      <c r="J88" s="39"/>
      <c r="K88" s="39"/>
    </row>
    <row r="89" spans="1:23" ht="11.25" customHeight="1" x14ac:dyDescent="0.25">
      <c r="A89" s="49" t="s">
        <v>280</v>
      </c>
      <c r="B89" s="40"/>
      <c r="C89" s="73">
        <f>(C78-'D3-Capex'!C31)+SD7b!C78</f>
        <v>0</v>
      </c>
      <c r="D89" s="73">
        <f>(D78-'D3-Capex'!D31)+SD7b!D78</f>
        <v>-10054</v>
      </c>
      <c r="E89" s="73">
        <f>(E78-'D3-Capex'!E31)+SD7b!E78</f>
        <v>131284</v>
      </c>
      <c r="F89" s="73">
        <f>(F78-'D3-Capex'!F31)+SD7b!F78</f>
        <v>-2000</v>
      </c>
      <c r="G89" s="73">
        <f>(G78-'D3-Capex'!G31)+SD7b!G78</f>
        <v>0</v>
      </c>
      <c r="H89" s="73">
        <f>(H78-'D3-Capex'!H31)+SD7b!H78</f>
        <v>-2000</v>
      </c>
      <c r="I89" s="73">
        <f>(I78-'D3-Capex'!I31)+SD7b!I78</f>
        <v>-209701.3</v>
      </c>
      <c r="J89" s="73">
        <f>(J78-'D3-Capex'!J31)+SD7b!J78</f>
        <v>-221283</v>
      </c>
      <c r="K89" s="73">
        <f>(K78-'D3-Capex'!K31)+SD7b!K78</f>
        <v>-2608259.23</v>
      </c>
    </row>
    <row r="90" spans="1:23" ht="11.25" customHeight="1" x14ac:dyDescent="0.25"/>
    <row r="91" spans="1:23" ht="11.25" customHeight="1" x14ac:dyDescent="0.25"/>
    <row r="92" spans="1:23" ht="11.25" customHeight="1" x14ac:dyDescent="0.25"/>
    <row r="93" spans="1:23" ht="11.25" customHeight="1" x14ac:dyDescent="0.25"/>
    <row r="94" spans="1:23" ht="11.25" customHeight="1" x14ac:dyDescent="0.25"/>
    <row r="95" spans="1:23" ht="11.25" customHeight="1" x14ac:dyDescent="0.25"/>
    <row r="96" spans="1:23" ht="11.25" customHeight="1" x14ac:dyDescent="0.25"/>
    <row r="97" ht="11.25" customHeight="1" x14ac:dyDescent="0.25"/>
    <row r="98" ht="11.25" customHeight="1" x14ac:dyDescent="0.25"/>
    <row r="99" ht="11.25" customHeight="1" x14ac:dyDescent="0.25"/>
    <row r="100" ht="11.25" customHeight="1" x14ac:dyDescent="0.25"/>
    <row r="101" ht="11.25" customHeight="1" x14ac:dyDescent="0.25"/>
    <row r="102" ht="11.25" customHeight="1" x14ac:dyDescent="0.25"/>
    <row r="103" ht="11.25" customHeight="1" x14ac:dyDescent="0.25"/>
    <row r="104" ht="11.25" customHeight="1" x14ac:dyDescent="0.25"/>
    <row r="105" ht="11.25" customHeight="1" x14ac:dyDescent="0.25"/>
    <row r="106" ht="11.25" customHeight="1" x14ac:dyDescent="0.25"/>
    <row r="107" ht="11.25" customHeight="1" x14ac:dyDescent="0.25"/>
    <row r="108" ht="11.25" customHeight="1" x14ac:dyDescent="0.25"/>
    <row r="109" ht="11.25" customHeight="1" x14ac:dyDescent="0.25"/>
    <row r="110" ht="11.25" customHeight="1" x14ac:dyDescent="0.25"/>
    <row r="111" ht="11.25" customHeight="1" x14ac:dyDescent="0.25"/>
    <row r="112" ht="11.25" customHeight="1" x14ac:dyDescent="0.25"/>
    <row r="113" ht="11.25" customHeight="1" x14ac:dyDescent="0.25"/>
    <row r="114" ht="11.25" customHeight="1" x14ac:dyDescent="0.25"/>
    <row r="115" ht="11.25" customHeight="1" x14ac:dyDescent="0.25"/>
    <row r="116" ht="11.25" customHeight="1" x14ac:dyDescent="0.25"/>
    <row r="117" ht="11.25" customHeight="1" x14ac:dyDescent="0.25"/>
    <row r="118" ht="11.25" customHeight="1" x14ac:dyDescent="0.25"/>
    <row r="119" ht="11.25" customHeight="1" x14ac:dyDescent="0.25"/>
    <row r="120" ht="11.25" customHeight="1" x14ac:dyDescent="0.25"/>
    <row r="121" ht="11.25" customHeight="1" x14ac:dyDescent="0.25"/>
    <row r="122" ht="11.25" customHeight="1" x14ac:dyDescent="0.25"/>
    <row r="123" ht="11.25" customHeight="1" x14ac:dyDescent="0.25"/>
    <row r="124" ht="11.25" customHeight="1" x14ac:dyDescent="0.25"/>
  </sheetData>
  <sheetProtection sheet="1" objects="1" scenarios="1"/>
  <mergeCells count="11">
    <mergeCell ref="J3:J4"/>
    <mergeCell ref="K3:K4"/>
    <mergeCell ref="E3:E4"/>
    <mergeCell ref="F3:F4"/>
    <mergeCell ref="G3:G4"/>
    <mergeCell ref="H3:H4"/>
    <mergeCell ref="A2:A3"/>
    <mergeCell ref="B2:B3"/>
    <mergeCell ref="C3:C4"/>
    <mergeCell ref="D3:D4"/>
    <mergeCell ref="I3:I4"/>
  </mergeCells>
  <phoneticPr fontId="2" type="noConversion"/>
  <printOptions horizontalCentered="1"/>
  <pageMargins left="0.37" right="0.14000000000000001" top="0.79" bottom="0.6" header="0.51181102362204722" footer="0.51"/>
  <pageSetup paperSize="9" scale="7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CCFFCC"/>
  </sheetPr>
  <dimension ref="A1:W124"/>
  <sheetViews>
    <sheetView showGridLines="0" workbookViewId="0">
      <pane xSplit="2" ySplit="4" topLeftCell="C8" activePane="bottomRight" state="frozen"/>
      <selection pane="topRight" activeCell="C1" sqref="C1"/>
      <selection pane="bottomLeft" activeCell="A5" sqref="A5"/>
      <selection pane="bottomRight" activeCell="C5" sqref="C5"/>
    </sheetView>
  </sheetViews>
  <sheetFormatPr defaultRowHeight="12.75" x14ac:dyDescent="0.25"/>
  <cols>
    <col min="1" max="1" width="35.7109375" style="20" customWidth="1"/>
    <col min="2" max="2" width="3.140625" style="43" customWidth="1"/>
    <col min="3" max="11" width="8.7109375" style="20" customWidth="1"/>
    <col min="12" max="12" width="9.85546875" style="20" customWidth="1"/>
    <col min="13" max="13" width="9.5703125" style="20" customWidth="1"/>
    <col min="14" max="14" width="9.85546875" style="20" customWidth="1"/>
    <col min="15" max="17" width="9.5703125" style="20" customWidth="1"/>
    <col min="18" max="18" width="9.85546875" style="20" customWidth="1"/>
    <col min="19" max="21" width="9.5703125" style="20" customWidth="1"/>
    <col min="22" max="23" width="9.85546875" style="20" customWidth="1"/>
    <col min="24" max="16384" width="9.140625" style="20"/>
  </cols>
  <sheetData>
    <row r="1" spans="1:12" ht="13.5" x14ac:dyDescent="0.25">
      <c r="A1" s="113" t="str">
        <f>MEB9b</f>
        <v>Greater Tzaneen Economic Development Agency (GTEDA) - Supporting Table SD7b Capital expenditure on renewal of existing assets by asset class</v>
      </c>
    </row>
    <row r="2" spans="1:12" ht="25.5" x14ac:dyDescent="0.25">
      <c r="A2" s="621" t="str">
        <f>desc</f>
        <v>Description</v>
      </c>
      <c r="B2" s="623" t="str">
        <f>head27</f>
        <v>Ref</v>
      </c>
      <c r="C2" s="109" t="str">
        <f>head1b</f>
        <v>2012/13</v>
      </c>
      <c r="D2" s="21" t="str">
        <f>head1A</f>
        <v>2013/14</v>
      </c>
      <c r="E2" s="103" t="str">
        <f>Head1</f>
        <v>2014/15</v>
      </c>
      <c r="F2" s="133" t="str">
        <f>Head2</f>
        <v>Current Year 2015/16</v>
      </c>
      <c r="G2" s="131"/>
      <c r="H2" s="132"/>
      <c r="I2" s="133" t="str">
        <f>Head3a</f>
        <v>Medium Term Revenue and Expenditure Framework</v>
      </c>
      <c r="J2" s="131"/>
      <c r="K2" s="132"/>
    </row>
    <row r="3" spans="1:12" x14ac:dyDescent="0.25">
      <c r="A3" s="622"/>
      <c r="B3" s="624"/>
      <c r="C3" s="625" t="str">
        <f>Head5</f>
        <v>Audited Outcome</v>
      </c>
      <c r="D3" s="627" t="str">
        <f>Head5</f>
        <v>Audited Outcome</v>
      </c>
      <c r="E3" s="636" t="str">
        <f>Head5</f>
        <v>Audited Outcome</v>
      </c>
      <c r="F3" s="632" t="str">
        <f>Head6</f>
        <v>Original Budget</v>
      </c>
      <c r="G3" s="634" t="str">
        <f>Head7</f>
        <v>Adjusted Budget</v>
      </c>
      <c r="H3" s="636" t="str">
        <f>Head8</f>
        <v>Full Year Forecast</v>
      </c>
      <c r="I3" s="632" t="str">
        <f>Head9</f>
        <v>Budget Year 2016/17</v>
      </c>
      <c r="J3" s="634" t="str">
        <f>Head10</f>
        <v>Budget Year +1 2017/18</v>
      </c>
      <c r="K3" s="636" t="str">
        <f>Head11</f>
        <v>Budget Year +2 2018/19</v>
      </c>
    </row>
    <row r="4" spans="1:12" x14ac:dyDescent="0.25">
      <c r="A4" s="153" t="s">
        <v>225</v>
      </c>
      <c r="B4" s="142">
        <v>1</v>
      </c>
      <c r="C4" s="626"/>
      <c r="D4" s="628"/>
      <c r="E4" s="637"/>
      <c r="F4" s="633"/>
      <c r="G4" s="635"/>
      <c r="H4" s="637"/>
      <c r="I4" s="633"/>
      <c r="J4" s="635"/>
      <c r="K4" s="637"/>
    </row>
    <row r="5" spans="1:12" ht="12.75" customHeight="1" x14ac:dyDescent="0.25">
      <c r="A5" s="22" t="s">
        <v>983</v>
      </c>
      <c r="B5" s="115"/>
      <c r="C5" s="28"/>
      <c r="D5" s="27"/>
      <c r="E5" s="106"/>
      <c r="F5" s="28"/>
      <c r="G5" s="27"/>
      <c r="H5" s="106"/>
      <c r="I5" s="28"/>
      <c r="J5" s="27"/>
      <c r="K5" s="106"/>
    </row>
    <row r="6" spans="1:12" ht="5.0999999999999996" customHeight="1" x14ac:dyDescent="0.25">
      <c r="A6" s="22"/>
      <c r="B6" s="115"/>
      <c r="C6" s="28"/>
      <c r="D6" s="27"/>
      <c r="E6" s="106"/>
      <c r="F6" s="28"/>
      <c r="G6" s="27"/>
      <c r="H6" s="106"/>
      <c r="I6" s="28"/>
      <c r="J6" s="27"/>
      <c r="K6" s="106"/>
    </row>
    <row r="7" spans="1:12" ht="11.25" customHeight="1" x14ac:dyDescent="0.25">
      <c r="A7" s="414" t="s">
        <v>201</v>
      </c>
      <c r="B7" s="450"/>
      <c r="C7" s="552">
        <f t="shared" ref="C7:K7" si="0">C8+C11+C15+C19+C22</f>
        <v>0</v>
      </c>
      <c r="D7" s="400">
        <f t="shared" si="0"/>
        <v>0</v>
      </c>
      <c r="E7" s="401">
        <f t="shared" si="0"/>
        <v>0</v>
      </c>
      <c r="F7" s="399">
        <f t="shared" si="0"/>
        <v>0</v>
      </c>
      <c r="G7" s="400">
        <f t="shared" si="0"/>
        <v>0</v>
      </c>
      <c r="H7" s="398">
        <f t="shared" si="0"/>
        <v>0</v>
      </c>
      <c r="I7" s="399">
        <f t="shared" si="0"/>
        <v>0</v>
      </c>
      <c r="J7" s="400">
        <f t="shared" si="0"/>
        <v>0</v>
      </c>
      <c r="K7" s="401">
        <f t="shared" si="0"/>
        <v>0</v>
      </c>
    </row>
    <row r="8" spans="1:12" s="593" customFormat="1" ht="13.5" x14ac:dyDescent="0.25">
      <c r="A8" s="383" t="s">
        <v>588</v>
      </c>
      <c r="B8" s="450"/>
      <c r="C8" s="565">
        <f>SUM(C9:C10)</f>
        <v>0</v>
      </c>
      <c r="D8" s="563">
        <f t="shared" ref="D8:K8" si="1">SUM(D9:D10)</f>
        <v>0</v>
      </c>
      <c r="E8" s="564">
        <f t="shared" si="1"/>
        <v>0</v>
      </c>
      <c r="F8" s="565">
        <f t="shared" si="1"/>
        <v>0</v>
      </c>
      <c r="G8" s="563">
        <f t="shared" si="1"/>
        <v>0</v>
      </c>
      <c r="H8" s="566">
        <f t="shared" si="1"/>
        <v>0</v>
      </c>
      <c r="I8" s="567">
        <f t="shared" si="1"/>
        <v>0</v>
      </c>
      <c r="J8" s="563">
        <f t="shared" si="1"/>
        <v>0</v>
      </c>
      <c r="K8" s="566">
        <f t="shared" si="1"/>
        <v>0</v>
      </c>
      <c r="L8" s="20"/>
    </row>
    <row r="9" spans="1:12" s="593" customFormat="1" ht="13.5" x14ac:dyDescent="0.25">
      <c r="A9" s="416" t="s">
        <v>589</v>
      </c>
      <c r="B9" s="450"/>
      <c r="C9" s="284"/>
      <c r="D9" s="282"/>
      <c r="E9" s="417"/>
      <c r="F9" s="418"/>
      <c r="G9" s="282"/>
      <c r="H9" s="319"/>
      <c r="I9" s="418"/>
      <c r="J9" s="282"/>
      <c r="K9" s="417"/>
      <c r="L9" s="20"/>
    </row>
    <row r="10" spans="1:12" s="593" customFormat="1" ht="13.5" x14ac:dyDescent="0.25">
      <c r="A10" s="416" t="s">
        <v>590</v>
      </c>
      <c r="B10" s="450"/>
      <c r="C10" s="284"/>
      <c r="D10" s="282"/>
      <c r="E10" s="417"/>
      <c r="F10" s="418"/>
      <c r="G10" s="282"/>
      <c r="H10" s="319"/>
      <c r="I10" s="418"/>
      <c r="J10" s="282"/>
      <c r="K10" s="417"/>
      <c r="L10" s="20"/>
    </row>
    <row r="11" spans="1:12" s="593" customFormat="1" ht="13.5" x14ac:dyDescent="0.25">
      <c r="A11" s="383" t="s">
        <v>591</v>
      </c>
      <c r="B11" s="450"/>
      <c r="C11" s="570">
        <f>SUM(C12:C14)</f>
        <v>0</v>
      </c>
      <c r="D11" s="568">
        <f t="shared" ref="D11:K11" si="2">SUM(D12:D14)</f>
        <v>0</v>
      </c>
      <c r="E11" s="569">
        <f t="shared" si="2"/>
        <v>0</v>
      </c>
      <c r="F11" s="570">
        <f t="shared" si="2"/>
        <v>0</v>
      </c>
      <c r="G11" s="568">
        <f t="shared" si="2"/>
        <v>0</v>
      </c>
      <c r="H11" s="571">
        <f t="shared" si="2"/>
        <v>0</v>
      </c>
      <c r="I11" s="572">
        <f t="shared" si="2"/>
        <v>0</v>
      </c>
      <c r="J11" s="568">
        <f t="shared" si="2"/>
        <v>0</v>
      </c>
      <c r="K11" s="571">
        <f t="shared" si="2"/>
        <v>0</v>
      </c>
      <c r="L11" s="20"/>
    </row>
    <row r="12" spans="1:12" s="593" customFormat="1" ht="13.5" x14ac:dyDescent="0.25">
      <c r="A12" s="416" t="s">
        <v>592</v>
      </c>
      <c r="B12" s="450"/>
      <c r="C12" s="284"/>
      <c r="D12" s="282"/>
      <c r="E12" s="318"/>
      <c r="F12" s="284"/>
      <c r="G12" s="282"/>
      <c r="H12" s="283"/>
      <c r="I12" s="419"/>
      <c r="J12" s="282"/>
      <c r="K12" s="283"/>
      <c r="L12" s="20"/>
    </row>
    <row r="13" spans="1:12" s="593" customFormat="1" ht="13.5" x14ac:dyDescent="0.25">
      <c r="A13" s="416" t="s">
        <v>593</v>
      </c>
      <c r="B13" s="450"/>
      <c r="C13" s="284"/>
      <c r="D13" s="282"/>
      <c r="E13" s="318"/>
      <c r="F13" s="284"/>
      <c r="G13" s="282"/>
      <c r="H13" s="283"/>
      <c r="I13" s="419"/>
      <c r="J13" s="282"/>
      <c r="K13" s="283"/>
      <c r="L13" s="20"/>
    </row>
    <row r="14" spans="1:12" s="593" customFormat="1" ht="13.5" x14ac:dyDescent="0.25">
      <c r="A14" s="416" t="s">
        <v>64</v>
      </c>
      <c r="B14" s="450"/>
      <c r="C14" s="284"/>
      <c r="D14" s="282"/>
      <c r="E14" s="318"/>
      <c r="F14" s="284"/>
      <c r="G14" s="282"/>
      <c r="H14" s="283"/>
      <c r="I14" s="419"/>
      <c r="J14" s="282"/>
      <c r="K14" s="283"/>
      <c r="L14" s="20"/>
    </row>
    <row r="15" spans="1:12" s="593" customFormat="1" ht="13.5" x14ac:dyDescent="0.25">
      <c r="A15" s="382" t="s">
        <v>594</v>
      </c>
      <c r="B15" s="455"/>
      <c r="C15" s="570">
        <f>SUM(C16:C18)</f>
        <v>0</v>
      </c>
      <c r="D15" s="568">
        <f t="shared" ref="D15:K15" si="3">SUM(D16:D18)</f>
        <v>0</v>
      </c>
      <c r="E15" s="569">
        <f t="shared" si="3"/>
        <v>0</v>
      </c>
      <c r="F15" s="570">
        <f t="shared" si="3"/>
        <v>0</v>
      </c>
      <c r="G15" s="568">
        <f t="shared" si="3"/>
        <v>0</v>
      </c>
      <c r="H15" s="571">
        <f t="shared" si="3"/>
        <v>0</v>
      </c>
      <c r="I15" s="572">
        <f t="shared" si="3"/>
        <v>0</v>
      </c>
      <c r="J15" s="568">
        <f t="shared" si="3"/>
        <v>0</v>
      </c>
      <c r="K15" s="571">
        <f t="shared" si="3"/>
        <v>0</v>
      </c>
      <c r="L15" s="20"/>
    </row>
    <row r="16" spans="1:12" s="593" customFormat="1" ht="13.5" x14ac:dyDescent="0.25">
      <c r="A16" s="416" t="s">
        <v>595</v>
      </c>
      <c r="B16" s="450"/>
      <c r="C16" s="284"/>
      <c r="D16" s="282"/>
      <c r="E16" s="318"/>
      <c r="F16" s="284"/>
      <c r="G16" s="282"/>
      <c r="H16" s="283"/>
      <c r="I16" s="419"/>
      <c r="J16" s="282"/>
      <c r="K16" s="283"/>
      <c r="L16" s="20"/>
    </row>
    <row r="17" spans="1:12" s="593" customFormat="1" ht="13.5" x14ac:dyDescent="0.25">
      <c r="A17" s="416" t="s">
        <v>596</v>
      </c>
      <c r="B17" s="450"/>
      <c r="C17" s="284"/>
      <c r="D17" s="282"/>
      <c r="E17" s="318"/>
      <c r="F17" s="284"/>
      <c r="G17" s="282"/>
      <c r="H17" s="283"/>
      <c r="I17" s="419"/>
      <c r="J17" s="282"/>
      <c r="K17" s="283"/>
      <c r="L17" s="20"/>
    </row>
    <row r="18" spans="1:12" s="593" customFormat="1" ht="13.5" x14ac:dyDescent="0.25">
      <c r="A18" s="416" t="s">
        <v>597</v>
      </c>
      <c r="B18" s="450"/>
      <c r="C18" s="284"/>
      <c r="D18" s="282"/>
      <c r="E18" s="318"/>
      <c r="F18" s="284"/>
      <c r="G18" s="282"/>
      <c r="H18" s="283"/>
      <c r="I18" s="419"/>
      <c r="J18" s="282"/>
      <c r="K18" s="283"/>
      <c r="L18" s="20"/>
    </row>
    <row r="19" spans="1:12" s="593" customFormat="1" ht="13.5" x14ac:dyDescent="0.25">
      <c r="A19" s="382" t="s">
        <v>598</v>
      </c>
      <c r="B19" s="450"/>
      <c r="C19" s="570">
        <f t="shared" ref="C19:K19" si="4">SUM(C20:C21)</f>
        <v>0</v>
      </c>
      <c r="D19" s="568">
        <f t="shared" si="4"/>
        <v>0</v>
      </c>
      <c r="E19" s="569">
        <f t="shared" si="4"/>
        <v>0</v>
      </c>
      <c r="F19" s="570">
        <f t="shared" si="4"/>
        <v>0</v>
      </c>
      <c r="G19" s="568">
        <f t="shared" si="4"/>
        <v>0</v>
      </c>
      <c r="H19" s="571">
        <f t="shared" si="4"/>
        <v>0</v>
      </c>
      <c r="I19" s="572">
        <f t="shared" si="4"/>
        <v>0</v>
      </c>
      <c r="J19" s="568">
        <f t="shared" si="4"/>
        <v>0</v>
      </c>
      <c r="K19" s="571">
        <f t="shared" si="4"/>
        <v>0</v>
      </c>
      <c r="L19" s="20"/>
    </row>
    <row r="20" spans="1:12" s="593" customFormat="1" ht="13.5" x14ac:dyDescent="0.25">
      <c r="A20" s="416" t="s">
        <v>597</v>
      </c>
      <c r="B20" s="450"/>
      <c r="C20" s="284"/>
      <c r="D20" s="282"/>
      <c r="E20" s="318"/>
      <c r="F20" s="284"/>
      <c r="G20" s="282"/>
      <c r="H20" s="283"/>
      <c r="I20" s="419"/>
      <c r="J20" s="282"/>
      <c r="K20" s="283"/>
      <c r="L20" s="20"/>
    </row>
    <row r="21" spans="1:12" s="593" customFormat="1" ht="13.5" x14ac:dyDescent="0.25">
      <c r="A21" s="416" t="s">
        <v>599</v>
      </c>
      <c r="B21" s="450"/>
      <c r="C21" s="284"/>
      <c r="D21" s="282"/>
      <c r="E21" s="318"/>
      <c r="F21" s="284"/>
      <c r="G21" s="282"/>
      <c r="H21" s="283"/>
      <c r="I21" s="419"/>
      <c r="J21" s="282"/>
      <c r="K21" s="283"/>
      <c r="L21" s="20"/>
    </row>
    <row r="22" spans="1:12" s="593" customFormat="1" ht="13.5" x14ac:dyDescent="0.25">
      <c r="A22" s="383" t="s">
        <v>600</v>
      </c>
      <c r="B22" s="450"/>
      <c r="C22" s="570">
        <f>SUM(C23:C26)</f>
        <v>0</v>
      </c>
      <c r="D22" s="568">
        <f t="shared" ref="D22:K22" si="5">SUM(D23:D26)</f>
        <v>0</v>
      </c>
      <c r="E22" s="568">
        <f t="shared" si="5"/>
        <v>0</v>
      </c>
      <c r="F22" s="570">
        <f t="shared" si="5"/>
        <v>0</v>
      </c>
      <c r="G22" s="568">
        <f t="shared" si="5"/>
        <v>0</v>
      </c>
      <c r="H22" s="571">
        <f t="shared" si="5"/>
        <v>0</v>
      </c>
      <c r="I22" s="572">
        <f t="shared" si="5"/>
        <v>0</v>
      </c>
      <c r="J22" s="568">
        <f t="shared" si="5"/>
        <v>0</v>
      </c>
      <c r="K22" s="571">
        <f t="shared" si="5"/>
        <v>0</v>
      </c>
      <c r="L22" s="20"/>
    </row>
    <row r="23" spans="1:12" s="593" customFormat="1" ht="13.5" x14ac:dyDescent="0.25">
      <c r="A23" s="416" t="s">
        <v>601</v>
      </c>
      <c r="B23" s="450"/>
      <c r="C23" s="284"/>
      <c r="D23" s="282"/>
      <c r="E23" s="319"/>
      <c r="F23" s="418"/>
      <c r="G23" s="282"/>
      <c r="H23" s="319"/>
      <c r="I23" s="418"/>
      <c r="J23" s="282"/>
      <c r="K23" s="283"/>
      <c r="L23" s="20"/>
    </row>
    <row r="24" spans="1:12" s="593" customFormat="1" ht="13.5" x14ac:dyDescent="0.25">
      <c r="A24" s="416" t="s">
        <v>602</v>
      </c>
      <c r="B24" s="450">
        <v>2</v>
      </c>
      <c r="C24" s="284"/>
      <c r="D24" s="282"/>
      <c r="E24" s="417"/>
      <c r="F24" s="418"/>
      <c r="G24" s="282"/>
      <c r="H24" s="319"/>
      <c r="I24" s="418"/>
      <c r="J24" s="282"/>
      <c r="K24" s="283"/>
      <c r="L24" s="20"/>
    </row>
    <row r="25" spans="1:12" s="593" customFormat="1" ht="13.5" x14ac:dyDescent="0.25">
      <c r="A25" s="416" t="s">
        <v>65</v>
      </c>
      <c r="B25" s="450"/>
      <c r="C25" s="284"/>
      <c r="D25" s="282"/>
      <c r="E25" s="417"/>
      <c r="F25" s="418"/>
      <c r="G25" s="282"/>
      <c r="H25" s="319"/>
      <c r="I25" s="418"/>
      <c r="J25" s="282"/>
      <c r="K25" s="417"/>
      <c r="L25" s="20"/>
    </row>
    <row r="26" spans="1:12" s="593" customFormat="1" ht="13.5" x14ac:dyDescent="0.25">
      <c r="A26" s="416" t="s">
        <v>279</v>
      </c>
      <c r="B26" s="450">
        <v>3</v>
      </c>
      <c r="C26" s="284"/>
      <c r="D26" s="282"/>
      <c r="E26" s="417"/>
      <c r="F26" s="418"/>
      <c r="G26" s="282"/>
      <c r="H26" s="319"/>
      <c r="I26" s="418"/>
      <c r="J26" s="282"/>
      <c r="K26" s="417"/>
      <c r="L26" s="20"/>
    </row>
    <row r="27" spans="1:12" ht="5.0999999999999996" customHeight="1" x14ac:dyDescent="0.25">
      <c r="A27" s="25"/>
      <c r="B27" s="395"/>
      <c r="C27" s="28"/>
      <c r="D27" s="27"/>
      <c r="E27" s="106"/>
      <c r="F27" s="28"/>
      <c r="G27" s="27"/>
      <c r="H27" s="106"/>
      <c r="I27" s="28"/>
      <c r="J27" s="27"/>
      <c r="K27" s="106"/>
    </row>
    <row r="28" spans="1:12" ht="12.75" customHeight="1" x14ac:dyDescent="0.25">
      <c r="A28" s="22" t="s">
        <v>418</v>
      </c>
      <c r="B28" s="115"/>
      <c r="C28" s="261">
        <f t="shared" ref="C28:K28" si="6">SUM(C29:C42)</f>
        <v>0</v>
      </c>
      <c r="D28" s="259">
        <f t="shared" si="6"/>
        <v>0</v>
      </c>
      <c r="E28" s="260">
        <f t="shared" si="6"/>
        <v>0</v>
      </c>
      <c r="F28" s="261">
        <f t="shared" si="6"/>
        <v>0</v>
      </c>
      <c r="G28" s="259">
        <f t="shared" si="6"/>
        <v>0</v>
      </c>
      <c r="H28" s="260">
        <f t="shared" si="6"/>
        <v>0</v>
      </c>
      <c r="I28" s="261">
        <f t="shared" si="6"/>
        <v>0</v>
      </c>
      <c r="J28" s="259">
        <f t="shared" si="6"/>
        <v>0</v>
      </c>
      <c r="K28" s="260">
        <f t="shared" si="6"/>
        <v>0</v>
      </c>
    </row>
    <row r="29" spans="1:12" ht="12.75" customHeight="1" x14ac:dyDescent="0.25">
      <c r="A29" s="383" t="s">
        <v>603</v>
      </c>
      <c r="B29" s="115"/>
      <c r="C29" s="284"/>
      <c r="D29" s="282"/>
      <c r="E29" s="283"/>
      <c r="F29" s="284"/>
      <c r="G29" s="282"/>
      <c r="H29" s="283"/>
      <c r="I29" s="284"/>
      <c r="J29" s="282"/>
      <c r="K29" s="283"/>
    </row>
    <row r="30" spans="1:12" ht="12.75" customHeight="1" x14ac:dyDescent="0.25">
      <c r="A30" s="383" t="s">
        <v>604</v>
      </c>
      <c r="B30" s="115"/>
      <c r="C30" s="284"/>
      <c r="D30" s="282"/>
      <c r="E30" s="283"/>
      <c r="F30" s="284"/>
      <c r="G30" s="282"/>
      <c r="H30" s="283"/>
      <c r="I30" s="284"/>
      <c r="J30" s="282"/>
      <c r="K30" s="283"/>
    </row>
    <row r="31" spans="1:12" ht="12.75" customHeight="1" x14ac:dyDescent="0.25">
      <c r="A31" s="383" t="s">
        <v>605</v>
      </c>
      <c r="B31" s="115"/>
      <c r="C31" s="284"/>
      <c r="D31" s="282"/>
      <c r="E31" s="283"/>
      <c r="F31" s="284"/>
      <c r="G31" s="282"/>
      <c r="H31" s="283"/>
      <c r="I31" s="284"/>
      <c r="J31" s="282"/>
      <c r="K31" s="283"/>
    </row>
    <row r="32" spans="1:12" ht="12.75" customHeight="1" x14ac:dyDescent="0.25">
      <c r="A32" s="383" t="s">
        <v>606</v>
      </c>
      <c r="B32" s="115"/>
      <c r="C32" s="284"/>
      <c r="D32" s="282"/>
      <c r="E32" s="283"/>
      <c r="F32" s="284"/>
      <c r="G32" s="282"/>
      <c r="H32" s="283"/>
      <c r="I32" s="284"/>
      <c r="J32" s="282"/>
      <c r="K32" s="283"/>
    </row>
    <row r="33" spans="1:11" ht="12.75" customHeight="1" x14ac:dyDescent="0.25">
      <c r="A33" s="383" t="s">
        <v>117</v>
      </c>
      <c r="B33" s="115"/>
      <c r="C33" s="284"/>
      <c r="D33" s="282"/>
      <c r="E33" s="283"/>
      <c r="F33" s="284"/>
      <c r="G33" s="282"/>
      <c r="H33" s="283"/>
      <c r="I33" s="284"/>
      <c r="J33" s="282"/>
      <c r="K33" s="283"/>
    </row>
    <row r="34" spans="1:11" ht="12.75" customHeight="1" x14ac:dyDescent="0.25">
      <c r="A34" s="383" t="s">
        <v>607</v>
      </c>
      <c r="B34" s="115"/>
      <c r="C34" s="284"/>
      <c r="D34" s="282"/>
      <c r="E34" s="283"/>
      <c r="F34" s="284"/>
      <c r="G34" s="282"/>
      <c r="H34" s="283"/>
      <c r="I34" s="284"/>
      <c r="J34" s="282"/>
      <c r="K34" s="283"/>
    </row>
    <row r="35" spans="1:11" ht="12.75" customHeight="1" x14ac:dyDescent="0.25">
      <c r="A35" s="383" t="s">
        <v>608</v>
      </c>
      <c r="B35" s="115"/>
      <c r="C35" s="284"/>
      <c r="D35" s="282"/>
      <c r="E35" s="283"/>
      <c r="F35" s="284"/>
      <c r="G35" s="282"/>
      <c r="H35" s="283"/>
      <c r="I35" s="284"/>
      <c r="J35" s="282"/>
      <c r="K35" s="283"/>
    </row>
    <row r="36" spans="1:11" ht="12.75" customHeight="1" x14ac:dyDescent="0.25">
      <c r="A36" s="383" t="s">
        <v>609</v>
      </c>
      <c r="B36" s="115"/>
      <c r="C36" s="284"/>
      <c r="D36" s="282"/>
      <c r="E36" s="283"/>
      <c r="F36" s="284"/>
      <c r="G36" s="282"/>
      <c r="H36" s="283"/>
      <c r="I36" s="284"/>
      <c r="J36" s="282"/>
      <c r="K36" s="283"/>
    </row>
    <row r="37" spans="1:11" ht="12.75" customHeight="1" x14ac:dyDescent="0.25">
      <c r="A37" s="383" t="s">
        <v>160</v>
      </c>
      <c r="B37" s="115"/>
      <c r="C37" s="284"/>
      <c r="D37" s="282"/>
      <c r="E37" s="283"/>
      <c r="F37" s="284"/>
      <c r="G37" s="282"/>
      <c r="H37" s="283"/>
      <c r="I37" s="284"/>
      <c r="J37" s="282"/>
      <c r="K37" s="283"/>
    </row>
    <row r="38" spans="1:11" ht="12.75" customHeight="1" x14ac:dyDescent="0.25">
      <c r="A38" s="383" t="s">
        <v>323</v>
      </c>
      <c r="B38" s="115"/>
      <c r="C38" s="284"/>
      <c r="D38" s="282"/>
      <c r="E38" s="283"/>
      <c r="F38" s="284"/>
      <c r="G38" s="282"/>
      <c r="H38" s="283"/>
      <c r="I38" s="284"/>
      <c r="J38" s="282"/>
      <c r="K38" s="283"/>
    </row>
    <row r="39" spans="1:11" ht="12.75" customHeight="1" x14ac:dyDescent="0.25">
      <c r="A39" s="383" t="s">
        <v>324</v>
      </c>
      <c r="B39" s="115"/>
      <c r="C39" s="284"/>
      <c r="D39" s="282"/>
      <c r="E39" s="283"/>
      <c r="F39" s="284"/>
      <c r="G39" s="282"/>
      <c r="H39" s="283"/>
      <c r="I39" s="284"/>
      <c r="J39" s="282"/>
      <c r="K39" s="283"/>
    </row>
    <row r="40" spans="1:11" ht="12.75" customHeight="1" x14ac:dyDescent="0.25">
      <c r="A40" s="383" t="s">
        <v>610</v>
      </c>
      <c r="B40" s="115"/>
      <c r="C40" s="284"/>
      <c r="D40" s="282"/>
      <c r="E40" s="283"/>
      <c r="F40" s="284"/>
      <c r="G40" s="282"/>
      <c r="H40" s="283"/>
      <c r="I40" s="284"/>
      <c r="J40" s="282"/>
      <c r="K40" s="283"/>
    </row>
    <row r="41" spans="1:11" ht="12.75" customHeight="1" x14ac:dyDescent="0.25">
      <c r="A41" s="383" t="s">
        <v>611</v>
      </c>
      <c r="B41" s="115"/>
      <c r="C41" s="284"/>
      <c r="D41" s="282"/>
      <c r="E41" s="283"/>
      <c r="F41" s="284"/>
      <c r="G41" s="282"/>
      <c r="H41" s="283"/>
      <c r="I41" s="284"/>
      <c r="J41" s="282"/>
      <c r="K41" s="283"/>
    </row>
    <row r="42" spans="1:11" ht="12.75" customHeight="1" x14ac:dyDescent="0.25">
      <c r="A42" s="24" t="s">
        <v>279</v>
      </c>
      <c r="B42" s="115"/>
      <c r="C42" s="284"/>
      <c r="D42" s="282"/>
      <c r="E42" s="283"/>
      <c r="F42" s="284"/>
      <c r="G42" s="282"/>
      <c r="H42" s="283"/>
      <c r="I42" s="284"/>
      <c r="J42" s="282"/>
      <c r="K42" s="283"/>
    </row>
    <row r="43" spans="1:11" ht="5.0999999999999996" customHeight="1" x14ac:dyDescent="0.25">
      <c r="A43" s="25"/>
      <c r="B43" s="395"/>
      <c r="C43" s="28"/>
      <c r="D43" s="27"/>
      <c r="E43" s="106"/>
      <c r="F43" s="28"/>
      <c r="G43" s="27"/>
      <c r="H43" s="106"/>
      <c r="I43" s="28"/>
      <c r="J43" s="27"/>
      <c r="K43" s="106"/>
    </row>
    <row r="44" spans="1:11" ht="17.25" customHeight="1" x14ac:dyDescent="0.25">
      <c r="A44" s="414" t="s">
        <v>226</v>
      </c>
      <c r="B44" s="450"/>
      <c r="C44" s="28">
        <f>SUM(C45:C46)</f>
        <v>0</v>
      </c>
      <c r="D44" s="27">
        <f t="shared" ref="D44:K44" si="7">SUM(D45:D46)</f>
        <v>0</v>
      </c>
      <c r="E44" s="421">
        <f t="shared" si="7"/>
        <v>0</v>
      </c>
      <c r="F44" s="422">
        <f t="shared" si="7"/>
        <v>0</v>
      </c>
      <c r="G44" s="27">
        <f t="shared" si="7"/>
        <v>0</v>
      </c>
      <c r="H44" s="26">
        <f t="shared" si="7"/>
        <v>0</v>
      </c>
      <c r="I44" s="422">
        <f t="shared" si="7"/>
        <v>0</v>
      </c>
      <c r="J44" s="27">
        <f t="shared" si="7"/>
        <v>0</v>
      </c>
      <c r="K44" s="421">
        <f t="shared" si="7"/>
        <v>0</v>
      </c>
    </row>
    <row r="45" spans="1:11" ht="11.25" customHeight="1" x14ac:dyDescent="0.25">
      <c r="A45" s="383" t="s">
        <v>612</v>
      </c>
      <c r="B45" s="450"/>
      <c r="C45" s="452"/>
      <c r="D45" s="425"/>
      <c r="E45" s="426"/>
      <c r="F45" s="427"/>
      <c r="G45" s="425"/>
      <c r="H45" s="428"/>
      <c r="I45" s="427"/>
      <c r="J45" s="425"/>
      <c r="K45" s="426"/>
    </row>
    <row r="46" spans="1:11" ht="11.25" customHeight="1" x14ac:dyDescent="0.25">
      <c r="A46" s="382" t="s">
        <v>279</v>
      </c>
      <c r="B46" s="450"/>
      <c r="C46" s="453"/>
      <c r="D46" s="429"/>
      <c r="E46" s="430"/>
      <c r="F46" s="431"/>
      <c r="G46" s="429"/>
      <c r="H46" s="432"/>
      <c r="I46" s="431"/>
      <c r="J46" s="429"/>
      <c r="K46" s="430"/>
    </row>
    <row r="47" spans="1:11" ht="5.0999999999999996" customHeight="1" x14ac:dyDescent="0.25">
      <c r="A47" s="420"/>
      <c r="B47" s="450"/>
      <c r="C47" s="28"/>
      <c r="D47" s="27"/>
      <c r="E47" s="421"/>
      <c r="F47" s="422"/>
      <c r="G47" s="27"/>
      <c r="H47" s="26"/>
      <c r="I47" s="422"/>
      <c r="J47" s="27"/>
      <c r="K47" s="421"/>
    </row>
    <row r="48" spans="1:11" ht="17.25" customHeight="1" x14ac:dyDescent="0.25">
      <c r="A48" s="414" t="s">
        <v>227</v>
      </c>
      <c r="B48" s="450"/>
      <c r="C48" s="31">
        <f>SUM(C49:C50)</f>
        <v>0</v>
      </c>
      <c r="D48" s="30">
        <f t="shared" ref="D48:K48" si="8">SUM(D49:D50)</f>
        <v>0</v>
      </c>
      <c r="E48" s="433">
        <f t="shared" si="8"/>
        <v>0</v>
      </c>
      <c r="F48" s="434">
        <f t="shared" si="8"/>
        <v>0</v>
      </c>
      <c r="G48" s="30">
        <f t="shared" si="8"/>
        <v>0</v>
      </c>
      <c r="H48" s="29">
        <f t="shared" si="8"/>
        <v>0</v>
      </c>
      <c r="I48" s="434">
        <f t="shared" si="8"/>
        <v>0</v>
      </c>
      <c r="J48" s="30">
        <f t="shared" si="8"/>
        <v>0</v>
      </c>
      <c r="K48" s="433">
        <f t="shared" si="8"/>
        <v>0</v>
      </c>
    </row>
    <row r="49" spans="1:11" ht="11.25" customHeight="1" x14ac:dyDescent="0.25">
      <c r="A49" s="383" t="s">
        <v>613</v>
      </c>
      <c r="B49" s="450"/>
      <c r="C49" s="454"/>
      <c r="D49" s="435"/>
      <c r="E49" s="436"/>
      <c r="F49" s="437"/>
      <c r="G49" s="435"/>
      <c r="H49" s="438"/>
      <c r="I49" s="437"/>
      <c r="J49" s="435"/>
      <c r="K49" s="436"/>
    </row>
    <row r="50" spans="1:11" ht="11.25" customHeight="1" x14ac:dyDescent="0.25">
      <c r="A50" s="383" t="s">
        <v>279</v>
      </c>
      <c r="B50" s="450"/>
      <c r="C50" s="287"/>
      <c r="D50" s="285"/>
      <c r="E50" s="439"/>
      <c r="F50" s="440"/>
      <c r="G50" s="285"/>
      <c r="H50" s="441"/>
      <c r="I50" s="440"/>
      <c r="J50" s="285"/>
      <c r="K50" s="439"/>
    </row>
    <row r="51" spans="1:11" ht="5.0999999999999996" customHeight="1" x14ac:dyDescent="0.25">
      <c r="A51" s="420"/>
      <c r="B51" s="450"/>
      <c r="C51" s="28"/>
      <c r="D51" s="27"/>
      <c r="E51" s="421"/>
      <c r="F51" s="422"/>
      <c r="G51" s="27"/>
      <c r="H51" s="26"/>
      <c r="I51" s="422"/>
      <c r="J51" s="27"/>
      <c r="K51" s="421"/>
    </row>
    <row r="52" spans="1:11" ht="12.75" customHeight="1" x14ac:dyDescent="0.25">
      <c r="A52" s="22" t="s">
        <v>228</v>
      </c>
      <c r="B52" s="395"/>
      <c r="C52" s="31">
        <f t="shared" ref="C52:K52" si="9">SUM(C53:C64)</f>
        <v>0</v>
      </c>
      <c r="D52" s="30">
        <f t="shared" si="9"/>
        <v>0</v>
      </c>
      <c r="E52" s="126">
        <f t="shared" si="9"/>
        <v>0</v>
      </c>
      <c r="F52" s="31">
        <f t="shared" si="9"/>
        <v>0</v>
      </c>
      <c r="G52" s="30">
        <f t="shared" si="9"/>
        <v>0</v>
      </c>
      <c r="H52" s="126">
        <f t="shared" si="9"/>
        <v>0</v>
      </c>
      <c r="I52" s="31">
        <f t="shared" si="9"/>
        <v>0</v>
      </c>
      <c r="J52" s="30">
        <f t="shared" si="9"/>
        <v>0</v>
      </c>
      <c r="K52" s="126">
        <f t="shared" si="9"/>
        <v>0</v>
      </c>
    </row>
    <row r="53" spans="1:11" ht="12.75" customHeight="1" x14ac:dyDescent="0.25">
      <c r="A53" s="382" t="s">
        <v>614</v>
      </c>
      <c r="B53" s="115"/>
      <c r="C53" s="284"/>
      <c r="D53" s="282"/>
      <c r="E53" s="283"/>
      <c r="F53" s="284"/>
      <c r="G53" s="282"/>
      <c r="H53" s="283"/>
      <c r="I53" s="284"/>
      <c r="J53" s="282"/>
      <c r="K53" s="283"/>
    </row>
    <row r="54" spans="1:11" ht="12.75" customHeight="1" x14ac:dyDescent="0.25">
      <c r="A54" s="382" t="s">
        <v>278</v>
      </c>
      <c r="B54" s="115"/>
      <c r="C54" s="284"/>
      <c r="D54" s="282"/>
      <c r="E54" s="283"/>
      <c r="F54" s="284"/>
      <c r="G54" s="282"/>
      <c r="H54" s="283"/>
      <c r="I54" s="284"/>
      <c r="J54" s="282"/>
      <c r="K54" s="283"/>
    </row>
    <row r="55" spans="1:11" ht="12.75" customHeight="1" x14ac:dyDescent="0.25">
      <c r="A55" s="382" t="s">
        <v>19</v>
      </c>
      <c r="B55" s="115"/>
      <c r="C55" s="284"/>
      <c r="D55" s="282"/>
      <c r="E55" s="283"/>
      <c r="F55" s="284"/>
      <c r="G55" s="282"/>
      <c r="H55" s="283"/>
      <c r="I55" s="284"/>
      <c r="J55" s="282"/>
      <c r="K55" s="283"/>
    </row>
    <row r="56" spans="1:11" ht="12.75" customHeight="1" x14ac:dyDescent="0.25">
      <c r="A56" s="382" t="s">
        <v>615</v>
      </c>
      <c r="B56" s="115"/>
      <c r="C56" s="284"/>
      <c r="D56" s="282"/>
      <c r="E56" s="283"/>
      <c r="F56" s="284"/>
      <c r="G56" s="282"/>
      <c r="H56" s="283"/>
      <c r="I56" s="284"/>
      <c r="J56" s="282"/>
      <c r="K56" s="283"/>
    </row>
    <row r="57" spans="1:11" ht="12.75" customHeight="1" x14ac:dyDescent="0.25">
      <c r="A57" s="382" t="s">
        <v>616</v>
      </c>
      <c r="B57" s="115"/>
      <c r="C57" s="284"/>
      <c r="D57" s="282"/>
      <c r="E57" s="283"/>
      <c r="F57" s="284"/>
      <c r="G57" s="282"/>
      <c r="H57" s="283"/>
      <c r="I57" s="284"/>
      <c r="J57" s="282"/>
      <c r="K57" s="283"/>
    </row>
    <row r="58" spans="1:11" ht="12.75" customHeight="1" x14ac:dyDescent="0.25">
      <c r="A58" s="382" t="s">
        <v>20</v>
      </c>
      <c r="B58" s="115"/>
      <c r="C58" s="284"/>
      <c r="D58" s="282"/>
      <c r="E58" s="283"/>
      <c r="F58" s="284"/>
      <c r="G58" s="282"/>
      <c r="H58" s="283"/>
      <c r="I58" s="284"/>
      <c r="J58" s="282"/>
      <c r="K58" s="283"/>
    </row>
    <row r="59" spans="1:11" ht="12.75" customHeight="1" x14ac:dyDescent="0.25">
      <c r="A59" s="382" t="s">
        <v>21</v>
      </c>
      <c r="B59" s="115"/>
      <c r="C59" s="284"/>
      <c r="D59" s="282"/>
      <c r="E59" s="283"/>
      <c r="F59" s="284"/>
      <c r="G59" s="282"/>
      <c r="H59" s="283"/>
      <c r="I59" s="284"/>
      <c r="J59" s="282"/>
      <c r="K59" s="283"/>
    </row>
    <row r="60" spans="1:11" ht="12.75" customHeight="1" x14ac:dyDescent="0.25">
      <c r="A60" s="382" t="s">
        <v>156</v>
      </c>
      <c r="B60" s="115"/>
      <c r="C60" s="284"/>
      <c r="D60" s="282"/>
      <c r="E60" s="283"/>
      <c r="F60" s="284"/>
      <c r="G60" s="282"/>
      <c r="H60" s="283"/>
      <c r="I60" s="284"/>
      <c r="J60" s="282"/>
      <c r="K60" s="283"/>
    </row>
    <row r="61" spans="1:11" ht="12.75" customHeight="1" x14ac:dyDescent="0.25">
      <c r="A61" s="382" t="s">
        <v>617</v>
      </c>
      <c r="B61" s="115"/>
      <c r="C61" s="284"/>
      <c r="D61" s="282"/>
      <c r="E61" s="283"/>
      <c r="F61" s="284"/>
      <c r="G61" s="282"/>
      <c r="H61" s="283"/>
      <c r="I61" s="284"/>
      <c r="J61" s="282"/>
      <c r="K61" s="283"/>
    </row>
    <row r="62" spans="1:11" ht="12.75" customHeight="1" x14ac:dyDescent="0.25">
      <c r="A62" s="382" t="s">
        <v>618</v>
      </c>
      <c r="B62" s="115"/>
      <c r="C62" s="284"/>
      <c r="D62" s="282"/>
      <c r="E62" s="283"/>
      <c r="F62" s="284"/>
      <c r="G62" s="282"/>
      <c r="H62" s="283"/>
      <c r="I62" s="284"/>
      <c r="J62" s="282"/>
      <c r="K62" s="283"/>
    </row>
    <row r="63" spans="1:11" ht="12.75" customHeight="1" x14ac:dyDescent="0.25">
      <c r="A63" s="382" t="s">
        <v>619</v>
      </c>
      <c r="B63" s="115"/>
      <c r="C63" s="284"/>
      <c r="D63" s="282"/>
      <c r="E63" s="283"/>
      <c r="F63" s="284"/>
      <c r="G63" s="282"/>
      <c r="H63" s="283"/>
      <c r="I63" s="284"/>
      <c r="J63" s="282"/>
      <c r="K63" s="283"/>
    </row>
    <row r="64" spans="1:11" ht="12.75" customHeight="1" x14ac:dyDescent="0.25">
      <c r="A64" s="24" t="s">
        <v>279</v>
      </c>
      <c r="B64" s="115"/>
      <c r="C64" s="284"/>
      <c r="D64" s="282"/>
      <c r="E64" s="283"/>
      <c r="F64" s="284"/>
      <c r="G64" s="282"/>
      <c r="H64" s="283"/>
      <c r="I64" s="284"/>
      <c r="J64" s="282"/>
      <c r="K64" s="283"/>
    </row>
    <row r="65" spans="1:23" ht="5.0999999999999996" customHeight="1" x14ac:dyDescent="0.25">
      <c r="A65" s="442"/>
      <c r="B65" s="450"/>
      <c r="C65" s="28"/>
      <c r="D65" s="27"/>
      <c r="E65" s="421"/>
      <c r="F65" s="422"/>
      <c r="G65" s="27"/>
      <c r="H65" s="26"/>
      <c r="I65" s="422"/>
      <c r="J65" s="27"/>
      <c r="K65" s="421"/>
    </row>
    <row r="66" spans="1:23" ht="17.25" customHeight="1" x14ac:dyDescent="0.25">
      <c r="A66" s="414" t="s">
        <v>649</v>
      </c>
      <c r="B66" s="450"/>
      <c r="C66" s="28">
        <f>SUM(C67:C68)</f>
        <v>0</v>
      </c>
      <c r="D66" s="27">
        <f t="shared" ref="D66:K66" si="10">SUM(D67:D68)</f>
        <v>0</v>
      </c>
      <c r="E66" s="421">
        <f t="shared" si="10"/>
        <v>0</v>
      </c>
      <c r="F66" s="422">
        <f t="shared" si="10"/>
        <v>0</v>
      </c>
      <c r="G66" s="27">
        <f t="shared" si="10"/>
        <v>0</v>
      </c>
      <c r="H66" s="26">
        <f t="shared" si="10"/>
        <v>0</v>
      </c>
      <c r="I66" s="422">
        <f t="shared" si="10"/>
        <v>0</v>
      </c>
      <c r="J66" s="27">
        <f t="shared" si="10"/>
        <v>0</v>
      </c>
      <c r="K66" s="421">
        <f t="shared" si="10"/>
        <v>0</v>
      </c>
    </row>
    <row r="67" spans="1:23" ht="11.25" customHeight="1" x14ac:dyDescent="0.25">
      <c r="A67" s="443" t="s">
        <v>364</v>
      </c>
      <c r="B67" s="450"/>
      <c r="C67" s="454"/>
      <c r="D67" s="435"/>
      <c r="E67" s="436"/>
      <c r="F67" s="437"/>
      <c r="G67" s="435"/>
      <c r="H67" s="438"/>
      <c r="I67" s="437"/>
      <c r="J67" s="435"/>
      <c r="K67" s="436"/>
    </row>
    <row r="68" spans="1:23" ht="11.25" customHeight="1" x14ac:dyDescent="0.25">
      <c r="A68" s="443"/>
      <c r="B68" s="450"/>
      <c r="C68" s="287"/>
      <c r="D68" s="285"/>
      <c r="E68" s="439"/>
      <c r="F68" s="440"/>
      <c r="G68" s="285"/>
      <c r="H68" s="441"/>
      <c r="I68" s="440"/>
      <c r="J68" s="285"/>
      <c r="K68" s="439"/>
    </row>
    <row r="69" spans="1:23" ht="5.0999999999999996" customHeight="1" x14ac:dyDescent="0.25">
      <c r="A69" s="442"/>
      <c r="B69" s="450"/>
      <c r="C69" s="28"/>
      <c r="D69" s="27"/>
      <c r="E69" s="421"/>
      <c r="F69" s="422"/>
      <c r="G69" s="27"/>
      <c r="H69" s="26"/>
      <c r="I69" s="422"/>
      <c r="J69" s="27"/>
      <c r="K69" s="421"/>
    </row>
    <row r="70" spans="1:23" ht="17.25" customHeight="1" x14ac:dyDescent="0.25">
      <c r="A70" s="414" t="s">
        <v>40</v>
      </c>
      <c r="B70" s="450"/>
      <c r="C70" s="28">
        <f>SUM(C71:C72)</f>
        <v>0</v>
      </c>
      <c r="D70" s="27">
        <f t="shared" ref="D70:K70" si="11">SUM(D71:D72)</f>
        <v>0</v>
      </c>
      <c r="E70" s="421">
        <f t="shared" si="11"/>
        <v>0</v>
      </c>
      <c r="F70" s="422">
        <f t="shared" si="11"/>
        <v>0</v>
      </c>
      <c r="G70" s="27">
        <f t="shared" si="11"/>
        <v>0</v>
      </c>
      <c r="H70" s="26">
        <f t="shared" si="11"/>
        <v>0</v>
      </c>
      <c r="I70" s="422">
        <f t="shared" si="11"/>
        <v>0</v>
      </c>
      <c r="J70" s="27">
        <f t="shared" si="11"/>
        <v>0</v>
      </c>
      <c r="K70" s="421">
        <f t="shared" si="11"/>
        <v>0</v>
      </c>
    </row>
    <row r="71" spans="1:23" ht="11.25" customHeight="1" x14ac:dyDescent="0.25">
      <c r="A71" s="443" t="s">
        <v>364</v>
      </c>
      <c r="B71" s="450"/>
      <c r="C71" s="454"/>
      <c r="D71" s="435"/>
      <c r="E71" s="436"/>
      <c r="F71" s="437"/>
      <c r="G71" s="435"/>
      <c r="H71" s="438"/>
      <c r="I71" s="437"/>
      <c r="J71" s="435"/>
      <c r="K71" s="436"/>
    </row>
    <row r="72" spans="1:23" ht="11.25" customHeight="1" x14ac:dyDescent="0.25">
      <c r="A72" s="443"/>
      <c r="B72" s="450"/>
      <c r="C72" s="287"/>
      <c r="D72" s="285"/>
      <c r="E72" s="439"/>
      <c r="F72" s="440"/>
      <c r="G72" s="285"/>
      <c r="H72" s="441"/>
      <c r="I72" s="440"/>
      <c r="J72" s="285"/>
      <c r="K72" s="439"/>
    </row>
    <row r="73" spans="1:23" ht="5.0999999999999996" customHeight="1" x14ac:dyDescent="0.25">
      <c r="A73" s="25"/>
      <c r="B73" s="115"/>
      <c r="C73" s="28"/>
      <c r="D73" s="27"/>
      <c r="E73" s="106"/>
      <c r="F73" s="28"/>
      <c r="G73" s="27"/>
      <c r="H73" s="106"/>
      <c r="I73" s="28"/>
      <c r="J73" s="27"/>
      <c r="K73" s="106"/>
    </row>
    <row r="74" spans="1:23" ht="17.25" customHeight="1" x14ac:dyDescent="0.25">
      <c r="A74" s="414" t="s">
        <v>68</v>
      </c>
      <c r="B74" s="450"/>
      <c r="C74" s="28">
        <f>SUM(C75:C76)</f>
        <v>0</v>
      </c>
      <c r="D74" s="27">
        <f t="shared" ref="D74:K74" si="12">SUM(D75:D76)</f>
        <v>0</v>
      </c>
      <c r="E74" s="421">
        <f t="shared" si="12"/>
        <v>0</v>
      </c>
      <c r="F74" s="422">
        <f t="shared" si="12"/>
        <v>0</v>
      </c>
      <c r="G74" s="27">
        <f t="shared" si="12"/>
        <v>0</v>
      </c>
      <c r="H74" s="26">
        <f t="shared" si="12"/>
        <v>0</v>
      </c>
      <c r="I74" s="422">
        <f t="shared" si="12"/>
        <v>0</v>
      </c>
      <c r="J74" s="27">
        <f t="shared" si="12"/>
        <v>0</v>
      </c>
      <c r="K74" s="421">
        <f t="shared" si="12"/>
        <v>0</v>
      </c>
    </row>
    <row r="75" spans="1:23" ht="11.25" customHeight="1" x14ac:dyDescent="0.25">
      <c r="A75" s="382" t="s">
        <v>199</v>
      </c>
      <c r="B75" s="450"/>
      <c r="C75" s="454"/>
      <c r="D75" s="435"/>
      <c r="E75" s="436"/>
      <c r="F75" s="437"/>
      <c r="G75" s="435"/>
      <c r="H75" s="438"/>
      <c r="I75" s="437"/>
      <c r="J75" s="435"/>
      <c r="K75" s="436"/>
    </row>
    <row r="76" spans="1:23" ht="11.25" customHeight="1" x14ac:dyDescent="0.25">
      <c r="A76" s="587" t="s">
        <v>620</v>
      </c>
      <c r="B76" s="450"/>
      <c r="C76" s="287"/>
      <c r="D76" s="285"/>
      <c r="E76" s="439"/>
      <c r="F76" s="440"/>
      <c r="G76" s="285"/>
      <c r="H76" s="441"/>
      <c r="I76" s="440"/>
      <c r="J76" s="285"/>
      <c r="K76" s="439"/>
    </row>
    <row r="77" spans="1:23" ht="5.0999999999999996" customHeight="1" x14ac:dyDescent="0.25">
      <c r="A77" s="420"/>
      <c r="B77" s="450"/>
      <c r="C77" s="31"/>
      <c r="D77" s="30"/>
      <c r="E77" s="433"/>
      <c r="F77" s="434"/>
      <c r="G77" s="30"/>
      <c r="H77" s="29"/>
      <c r="I77" s="434"/>
      <c r="J77" s="30"/>
      <c r="K77" s="433"/>
    </row>
    <row r="78" spans="1:23" ht="12.75" customHeight="1" x14ac:dyDescent="0.25">
      <c r="A78" s="32" t="s">
        <v>984</v>
      </c>
      <c r="B78" s="451">
        <v>1</v>
      </c>
      <c r="C78" s="34">
        <f>C7+C28+C44+C48+C52+C66+C70+C74</f>
        <v>0</v>
      </c>
      <c r="D78" s="33">
        <f t="shared" ref="D78:K78" si="13">D7+D28+D44+D48+D52+D66+D70+D74</f>
        <v>0</v>
      </c>
      <c r="E78" s="135">
        <f t="shared" si="13"/>
        <v>0</v>
      </c>
      <c r="F78" s="34">
        <f t="shared" si="13"/>
        <v>0</v>
      </c>
      <c r="G78" s="33">
        <f t="shared" si="13"/>
        <v>0</v>
      </c>
      <c r="H78" s="135">
        <f t="shared" si="13"/>
        <v>0</v>
      </c>
      <c r="I78" s="34">
        <f t="shared" si="13"/>
        <v>0</v>
      </c>
      <c r="J78" s="33">
        <f t="shared" si="13"/>
        <v>0</v>
      </c>
      <c r="K78" s="135">
        <f t="shared" si="13"/>
        <v>0</v>
      </c>
      <c r="M78" s="39"/>
      <c r="N78" s="39"/>
      <c r="O78" s="39"/>
      <c r="P78" s="39"/>
      <c r="Q78" s="39"/>
      <c r="R78" s="39"/>
      <c r="S78" s="39"/>
      <c r="T78" s="39"/>
      <c r="U78" s="39"/>
      <c r="V78" s="39"/>
      <c r="W78" s="39"/>
    </row>
    <row r="79" spans="1:23" ht="12.75" customHeight="1" x14ac:dyDescent="0.25">
      <c r="A79" s="38"/>
      <c r="B79" s="444"/>
      <c r="C79" s="29"/>
      <c r="D79" s="29"/>
      <c r="E79" s="29"/>
      <c r="F79" s="29"/>
      <c r="G79" s="29"/>
      <c r="H79" s="29"/>
      <c r="I79" s="29"/>
      <c r="J79" s="29"/>
      <c r="K79" s="29"/>
      <c r="M79" s="39"/>
      <c r="N79" s="39"/>
      <c r="O79" s="39"/>
      <c r="P79" s="39"/>
      <c r="Q79" s="39"/>
      <c r="R79" s="39"/>
      <c r="S79" s="39"/>
      <c r="T79" s="39"/>
      <c r="U79" s="39"/>
      <c r="V79" s="39"/>
      <c r="W79" s="39"/>
    </row>
    <row r="80" spans="1:23" ht="12.75" customHeight="1" x14ac:dyDescent="0.25">
      <c r="A80" s="445" t="s">
        <v>278</v>
      </c>
      <c r="B80" s="446"/>
      <c r="C80" s="447">
        <f t="shared" ref="C80:K80" si="14">SUM(C81:C84)</f>
        <v>0</v>
      </c>
      <c r="D80" s="448">
        <f t="shared" si="14"/>
        <v>0</v>
      </c>
      <c r="E80" s="449">
        <f t="shared" si="14"/>
        <v>0</v>
      </c>
      <c r="F80" s="447">
        <f t="shared" si="14"/>
        <v>0</v>
      </c>
      <c r="G80" s="448">
        <f t="shared" si="14"/>
        <v>0</v>
      </c>
      <c r="H80" s="449">
        <f t="shared" si="14"/>
        <v>0</v>
      </c>
      <c r="I80" s="447">
        <f t="shared" si="14"/>
        <v>0</v>
      </c>
      <c r="J80" s="448">
        <f t="shared" si="14"/>
        <v>0</v>
      </c>
      <c r="K80" s="449">
        <f t="shared" si="14"/>
        <v>0</v>
      </c>
    </row>
    <row r="81" spans="1:23" ht="12.75" customHeight="1" x14ac:dyDescent="0.25">
      <c r="A81" s="24" t="s">
        <v>119</v>
      </c>
      <c r="B81" s="115"/>
      <c r="C81" s="284"/>
      <c r="D81" s="282"/>
      <c r="E81" s="283"/>
      <c r="F81" s="284"/>
      <c r="G81" s="282"/>
      <c r="H81" s="283"/>
      <c r="I81" s="284"/>
      <c r="J81" s="282"/>
      <c r="K81" s="283"/>
    </row>
    <row r="82" spans="1:23" ht="12.75" customHeight="1" x14ac:dyDescent="0.25">
      <c r="A82" s="24" t="s">
        <v>157</v>
      </c>
      <c r="B82" s="115"/>
      <c r="C82" s="284"/>
      <c r="D82" s="282"/>
      <c r="E82" s="283"/>
      <c r="F82" s="284"/>
      <c r="G82" s="282"/>
      <c r="H82" s="283"/>
      <c r="I82" s="284"/>
      <c r="J82" s="282"/>
      <c r="K82" s="283"/>
    </row>
    <row r="83" spans="1:23" ht="12.75" customHeight="1" x14ac:dyDescent="0.25">
      <c r="A83" s="24" t="s">
        <v>158</v>
      </c>
      <c r="B83" s="115"/>
      <c r="C83" s="284"/>
      <c r="D83" s="282"/>
      <c r="E83" s="283"/>
      <c r="F83" s="284"/>
      <c r="G83" s="282"/>
      <c r="H83" s="283"/>
      <c r="I83" s="284"/>
      <c r="J83" s="282"/>
      <c r="K83" s="283"/>
    </row>
    <row r="84" spans="1:23" ht="12.75" customHeight="1" x14ac:dyDescent="0.25">
      <c r="A84" s="365" t="s">
        <v>159</v>
      </c>
      <c r="B84" s="366"/>
      <c r="C84" s="306"/>
      <c r="D84" s="307"/>
      <c r="E84" s="308"/>
      <c r="F84" s="306"/>
      <c r="G84" s="307"/>
      <c r="H84" s="308"/>
      <c r="I84" s="306"/>
      <c r="J84" s="307"/>
      <c r="K84" s="308"/>
    </row>
    <row r="85" spans="1:23" ht="12.75" customHeight="1" x14ac:dyDescent="0.25">
      <c r="A85" s="38"/>
      <c r="B85" s="36"/>
      <c r="C85" s="29"/>
      <c r="D85" s="29"/>
      <c r="E85" s="29"/>
      <c r="F85" s="29"/>
      <c r="G85" s="29"/>
      <c r="H85" s="29"/>
      <c r="I85" s="29"/>
      <c r="J85" s="29"/>
      <c r="K85" s="29"/>
      <c r="L85" s="39"/>
      <c r="M85" s="39"/>
      <c r="N85" s="39"/>
      <c r="O85" s="39"/>
      <c r="P85" s="39"/>
      <c r="Q85" s="39"/>
      <c r="R85" s="39"/>
      <c r="S85" s="39"/>
      <c r="T85" s="39"/>
      <c r="U85" s="39"/>
      <c r="V85" s="39"/>
      <c r="W85" s="39"/>
    </row>
    <row r="86" spans="1:23" ht="12.75" customHeight="1" x14ac:dyDescent="0.25">
      <c r="A86" s="35" t="str">
        <f>head27a</f>
        <v>References</v>
      </c>
      <c r="B86" s="36"/>
      <c r="C86" s="39"/>
      <c r="D86" s="39"/>
      <c r="E86" s="39"/>
      <c r="F86" s="39"/>
      <c r="G86" s="39"/>
      <c r="H86" s="39"/>
      <c r="I86" s="39"/>
      <c r="J86" s="39"/>
      <c r="K86" s="39"/>
    </row>
    <row r="87" spans="1:23" ht="12.75" customHeight="1" x14ac:dyDescent="0.25">
      <c r="A87" s="47" t="s">
        <v>988</v>
      </c>
      <c r="B87" s="36"/>
      <c r="C87" s="38"/>
      <c r="D87" s="38"/>
      <c r="E87" s="39"/>
      <c r="F87" s="39"/>
      <c r="G87" s="39"/>
      <c r="H87" s="39"/>
      <c r="I87" s="39"/>
      <c r="J87" s="39"/>
      <c r="K87" s="39"/>
    </row>
    <row r="88" spans="1:23" ht="11.25" customHeight="1" x14ac:dyDescent="0.25">
      <c r="A88" s="42"/>
      <c r="B88" s="36"/>
      <c r="C88" s="38"/>
      <c r="D88" s="38"/>
      <c r="E88" s="39"/>
      <c r="F88" s="39"/>
      <c r="G88" s="39"/>
      <c r="H88" s="39"/>
      <c r="I88" s="39"/>
      <c r="J88" s="39"/>
      <c r="K88" s="39"/>
    </row>
    <row r="89" spans="1:23" ht="11.25" customHeight="1" x14ac:dyDescent="0.25">
      <c r="A89" s="49" t="s">
        <v>280</v>
      </c>
      <c r="B89" s="40"/>
      <c r="C89" s="73">
        <f>(C78-'D3-Capex'!C31)+SD7a!C78</f>
        <v>0</v>
      </c>
      <c r="D89" s="73">
        <f>(D78-'D3-Capex'!D31)+SD7a!D78</f>
        <v>-10054</v>
      </c>
      <c r="E89" s="73">
        <f>(E78-'D3-Capex'!E31)+SD7a!E78</f>
        <v>131284</v>
      </c>
      <c r="F89" s="73">
        <f>(F78-'D3-Capex'!F31)+SD7a!F78</f>
        <v>-2000</v>
      </c>
      <c r="G89" s="73">
        <f>(G78-'D3-Capex'!G31)+SD7a!G78</f>
        <v>0</v>
      </c>
      <c r="H89" s="73">
        <f>(H78-'D3-Capex'!H31)+SD7a!H78</f>
        <v>-2000</v>
      </c>
      <c r="I89" s="73">
        <f>(I78-'D3-Capex'!I31)+SD7a!I78</f>
        <v>-209701.3</v>
      </c>
      <c r="J89" s="73">
        <f>(J78-'D3-Capex'!J31)+SD7a!J78</f>
        <v>-221283</v>
      </c>
      <c r="K89" s="73">
        <f>(K78-'D3-Capex'!K31)+SD7a!K78</f>
        <v>-2608259.23</v>
      </c>
    </row>
    <row r="90" spans="1:23" ht="11.25" customHeight="1" x14ac:dyDescent="0.25"/>
    <row r="91" spans="1:23" ht="11.25" customHeight="1" x14ac:dyDescent="0.25"/>
    <row r="92" spans="1:23" ht="11.25" customHeight="1" x14ac:dyDescent="0.25"/>
    <row r="93" spans="1:23" ht="11.25" customHeight="1" x14ac:dyDescent="0.25"/>
    <row r="94" spans="1:23" ht="11.25" customHeight="1" x14ac:dyDescent="0.25"/>
    <row r="95" spans="1:23" ht="11.25" customHeight="1" x14ac:dyDescent="0.25"/>
    <row r="96" spans="1:23" ht="11.25" customHeight="1" x14ac:dyDescent="0.25"/>
    <row r="97" ht="11.25" customHeight="1" x14ac:dyDescent="0.25"/>
    <row r="98" ht="11.25" customHeight="1" x14ac:dyDescent="0.25"/>
    <row r="99" ht="11.25" customHeight="1" x14ac:dyDescent="0.25"/>
    <row r="100" ht="11.25" customHeight="1" x14ac:dyDescent="0.25"/>
    <row r="101" ht="11.25" customHeight="1" x14ac:dyDescent="0.25"/>
    <row r="102" ht="11.25" customHeight="1" x14ac:dyDescent="0.25"/>
    <row r="103" ht="11.25" customHeight="1" x14ac:dyDescent="0.25"/>
    <row r="104" ht="11.25" customHeight="1" x14ac:dyDescent="0.25"/>
    <row r="105" ht="11.25" customHeight="1" x14ac:dyDescent="0.25"/>
    <row r="106" ht="11.25" customHeight="1" x14ac:dyDescent="0.25"/>
    <row r="107" ht="11.25" customHeight="1" x14ac:dyDescent="0.25"/>
    <row r="108" ht="11.25" customHeight="1" x14ac:dyDescent="0.25"/>
    <row r="109" ht="11.25" customHeight="1" x14ac:dyDescent="0.25"/>
    <row r="110" ht="11.25" customHeight="1" x14ac:dyDescent="0.25"/>
    <row r="111" ht="11.25" customHeight="1" x14ac:dyDescent="0.25"/>
    <row r="112" ht="11.25" customHeight="1" x14ac:dyDescent="0.25"/>
    <row r="113" ht="11.25" customHeight="1" x14ac:dyDescent="0.25"/>
    <row r="114" ht="11.25" customHeight="1" x14ac:dyDescent="0.25"/>
    <row r="115" ht="11.25" customHeight="1" x14ac:dyDescent="0.25"/>
    <row r="116" ht="11.25" customHeight="1" x14ac:dyDescent="0.25"/>
    <row r="117" ht="11.25" customHeight="1" x14ac:dyDescent="0.25"/>
    <row r="118" ht="11.25" customHeight="1" x14ac:dyDescent="0.25"/>
    <row r="119" ht="11.25" customHeight="1" x14ac:dyDescent="0.25"/>
    <row r="120" ht="11.25" customHeight="1" x14ac:dyDescent="0.25"/>
    <row r="121" ht="11.25" customHeight="1" x14ac:dyDescent="0.25"/>
    <row r="122" ht="11.25" customHeight="1" x14ac:dyDescent="0.25"/>
    <row r="123" ht="11.25" customHeight="1" x14ac:dyDescent="0.25"/>
    <row r="124" ht="11.25" customHeight="1" x14ac:dyDescent="0.25"/>
  </sheetData>
  <sheetProtection sheet="1" objects="1" scenarios="1"/>
  <mergeCells count="11">
    <mergeCell ref="J3:J4"/>
    <mergeCell ref="K3:K4"/>
    <mergeCell ref="E3:E4"/>
    <mergeCell ref="F3:F4"/>
    <mergeCell ref="G3:G4"/>
    <mergeCell ref="H3:H4"/>
    <mergeCell ref="A2:A3"/>
    <mergeCell ref="B2:B3"/>
    <mergeCell ref="C3:C4"/>
    <mergeCell ref="D3:D4"/>
    <mergeCell ref="I3:I4"/>
  </mergeCells>
  <phoneticPr fontId="2" type="noConversion"/>
  <pageMargins left="0.75" right="0.75" top="1" bottom="1" header="0.5" footer="0.5"/>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CCFFCC"/>
  </sheetPr>
  <dimension ref="A1:W124"/>
  <sheetViews>
    <sheetView showGridLines="0" workbookViewId="0">
      <pane xSplit="2" ySplit="4" topLeftCell="C5" activePane="bottomRight" state="frozen"/>
      <selection pane="topRight" activeCell="C1" sqref="C1"/>
      <selection pane="bottomLeft" activeCell="A5" sqref="A5"/>
      <selection pane="bottomRight" activeCell="C5" sqref="C5"/>
    </sheetView>
  </sheetViews>
  <sheetFormatPr defaultRowHeight="12.75" x14ac:dyDescent="0.25"/>
  <cols>
    <col min="1" max="1" width="35.7109375" style="20" customWidth="1"/>
    <col min="2" max="2" width="3.140625" style="43" customWidth="1"/>
    <col min="3" max="11" width="8.7109375" style="20" customWidth="1"/>
    <col min="12" max="12" width="9.85546875" style="20" customWidth="1"/>
    <col min="13" max="13" width="9.5703125" style="20" customWidth="1"/>
    <col min="14" max="14" width="9.85546875" style="20" customWidth="1"/>
    <col min="15" max="17" width="9.5703125" style="20" customWidth="1"/>
    <col min="18" max="18" width="9.85546875" style="20" customWidth="1"/>
    <col min="19" max="21" width="9.5703125" style="20" customWidth="1"/>
    <col min="22" max="23" width="9.85546875" style="20" customWidth="1"/>
    <col min="24" max="16384" width="9.140625" style="20"/>
  </cols>
  <sheetData>
    <row r="1" spans="1:12" ht="13.5" x14ac:dyDescent="0.25">
      <c r="A1" s="113" t="str">
        <f>MEB9c</f>
        <v>Greater Tzaneen Economic Development Agency (GTEDA) - Supporting Table SD7c Expenditure on repairs and maintenance by asset class</v>
      </c>
    </row>
    <row r="2" spans="1:12" ht="25.5" x14ac:dyDescent="0.25">
      <c r="A2" s="621" t="str">
        <f>desc</f>
        <v>Description</v>
      </c>
      <c r="B2" s="623" t="str">
        <f>head27</f>
        <v>Ref</v>
      </c>
      <c r="C2" s="109" t="str">
        <f>head1b</f>
        <v>2012/13</v>
      </c>
      <c r="D2" s="21" t="str">
        <f>head1A</f>
        <v>2013/14</v>
      </c>
      <c r="E2" s="103" t="str">
        <f>Head1</f>
        <v>2014/15</v>
      </c>
      <c r="F2" s="133" t="str">
        <f>Head2</f>
        <v>Current Year 2015/16</v>
      </c>
      <c r="G2" s="131"/>
      <c r="H2" s="132"/>
      <c r="I2" s="133" t="str">
        <f>Head3a</f>
        <v>Medium Term Revenue and Expenditure Framework</v>
      </c>
      <c r="J2" s="131"/>
      <c r="K2" s="132"/>
    </row>
    <row r="3" spans="1:12" x14ac:dyDescent="0.25">
      <c r="A3" s="622"/>
      <c r="B3" s="624"/>
      <c r="C3" s="625" t="str">
        <f>Head5</f>
        <v>Audited Outcome</v>
      </c>
      <c r="D3" s="627" t="str">
        <f>Head5</f>
        <v>Audited Outcome</v>
      </c>
      <c r="E3" s="636" t="str">
        <f>Head5</f>
        <v>Audited Outcome</v>
      </c>
      <c r="F3" s="632" t="str">
        <f>Head6</f>
        <v>Original Budget</v>
      </c>
      <c r="G3" s="634" t="str">
        <f>Head7</f>
        <v>Adjusted Budget</v>
      </c>
      <c r="H3" s="636" t="str">
        <f>Head8</f>
        <v>Full Year Forecast</v>
      </c>
      <c r="I3" s="632" t="str">
        <f>Head9</f>
        <v>Budget Year 2016/17</v>
      </c>
      <c r="J3" s="634" t="str">
        <f>Head10</f>
        <v>Budget Year +1 2017/18</v>
      </c>
      <c r="K3" s="636" t="str">
        <f>Head11</f>
        <v>Budget Year +2 2018/19</v>
      </c>
    </row>
    <row r="4" spans="1:12" x14ac:dyDescent="0.25">
      <c r="A4" s="153" t="s">
        <v>225</v>
      </c>
      <c r="B4" s="142">
        <v>1</v>
      </c>
      <c r="C4" s="626"/>
      <c r="D4" s="628"/>
      <c r="E4" s="637"/>
      <c r="F4" s="633"/>
      <c r="G4" s="635"/>
      <c r="H4" s="637"/>
      <c r="I4" s="633"/>
      <c r="J4" s="635"/>
      <c r="K4" s="637"/>
    </row>
    <row r="5" spans="1:12" ht="12.75" customHeight="1" x14ac:dyDescent="0.25">
      <c r="A5" s="22" t="s">
        <v>985</v>
      </c>
      <c r="B5" s="115"/>
      <c r="C5" s="28"/>
      <c r="D5" s="27"/>
      <c r="E5" s="106"/>
      <c r="F5" s="28"/>
      <c r="G5" s="27"/>
      <c r="H5" s="106"/>
      <c r="I5" s="28"/>
      <c r="J5" s="27"/>
      <c r="K5" s="106"/>
    </row>
    <row r="6" spans="1:12" ht="5.0999999999999996" customHeight="1" x14ac:dyDescent="0.25">
      <c r="A6" s="22"/>
      <c r="B6" s="395"/>
      <c r="C6" s="28"/>
      <c r="D6" s="27"/>
      <c r="E6" s="106"/>
      <c r="F6" s="28"/>
      <c r="G6" s="27"/>
      <c r="H6" s="106"/>
      <c r="I6" s="28"/>
      <c r="J6" s="27"/>
      <c r="K6" s="106"/>
    </row>
    <row r="7" spans="1:12" ht="11.25" customHeight="1" x14ac:dyDescent="0.25">
      <c r="A7" s="414" t="s">
        <v>201</v>
      </c>
      <c r="B7" s="450"/>
      <c r="C7" s="552">
        <f t="shared" ref="C7:K7" si="0">C8+C11+C15+C19+C22</f>
        <v>0</v>
      </c>
      <c r="D7" s="400">
        <f t="shared" si="0"/>
        <v>0</v>
      </c>
      <c r="E7" s="401">
        <f t="shared" si="0"/>
        <v>0</v>
      </c>
      <c r="F7" s="399">
        <f t="shared" si="0"/>
        <v>0</v>
      </c>
      <c r="G7" s="400">
        <f t="shared" si="0"/>
        <v>0</v>
      </c>
      <c r="H7" s="398">
        <f t="shared" si="0"/>
        <v>0</v>
      </c>
      <c r="I7" s="399">
        <f t="shared" si="0"/>
        <v>0</v>
      </c>
      <c r="J7" s="400">
        <f t="shared" si="0"/>
        <v>0</v>
      </c>
      <c r="K7" s="401">
        <f t="shared" si="0"/>
        <v>0</v>
      </c>
    </row>
    <row r="8" spans="1:12" s="593" customFormat="1" ht="13.5" x14ac:dyDescent="0.25">
      <c r="A8" s="383" t="s">
        <v>588</v>
      </c>
      <c r="B8" s="450"/>
      <c r="C8" s="565">
        <f>SUM(C9:C10)</f>
        <v>0</v>
      </c>
      <c r="D8" s="563">
        <f t="shared" ref="D8:K8" si="1">SUM(D9:D10)</f>
        <v>0</v>
      </c>
      <c r="E8" s="564">
        <f t="shared" si="1"/>
        <v>0</v>
      </c>
      <c r="F8" s="565">
        <f t="shared" si="1"/>
        <v>0</v>
      </c>
      <c r="G8" s="563">
        <f t="shared" si="1"/>
        <v>0</v>
      </c>
      <c r="H8" s="566">
        <f t="shared" si="1"/>
        <v>0</v>
      </c>
      <c r="I8" s="567">
        <f t="shared" si="1"/>
        <v>0</v>
      </c>
      <c r="J8" s="563">
        <f t="shared" si="1"/>
        <v>0</v>
      </c>
      <c r="K8" s="566">
        <f t="shared" si="1"/>
        <v>0</v>
      </c>
      <c r="L8" s="20"/>
    </row>
    <row r="9" spans="1:12" s="593" customFormat="1" ht="13.5" x14ac:dyDescent="0.25">
      <c r="A9" s="416" t="s">
        <v>589</v>
      </c>
      <c r="B9" s="450"/>
      <c r="C9" s="284"/>
      <c r="D9" s="282"/>
      <c r="E9" s="417"/>
      <c r="F9" s="418"/>
      <c r="G9" s="282"/>
      <c r="H9" s="319"/>
      <c r="I9" s="418"/>
      <c r="J9" s="282"/>
      <c r="K9" s="417"/>
      <c r="L9" s="20"/>
    </row>
    <row r="10" spans="1:12" s="593" customFormat="1" ht="13.5" x14ac:dyDescent="0.25">
      <c r="A10" s="416" t="s">
        <v>590</v>
      </c>
      <c r="B10" s="450"/>
      <c r="C10" s="284"/>
      <c r="D10" s="282"/>
      <c r="E10" s="417"/>
      <c r="F10" s="418"/>
      <c r="G10" s="282"/>
      <c r="H10" s="319"/>
      <c r="I10" s="418"/>
      <c r="J10" s="282"/>
      <c r="K10" s="417"/>
      <c r="L10" s="20"/>
    </row>
    <row r="11" spans="1:12" s="593" customFormat="1" ht="13.5" x14ac:dyDescent="0.25">
      <c r="A11" s="383" t="s">
        <v>591</v>
      </c>
      <c r="B11" s="450"/>
      <c r="C11" s="570">
        <f>SUM(C12:C14)</f>
        <v>0</v>
      </c>
      <c r="D11" s="568">
        <f t="shared" ref="D11:K11" si="2">SUM(D12:D14)</f>
        <v>0</v>
      </c>
      <c r="E11" s="569">
        <f t="shared" si="2"/>
        <v>0</v>
      </c>
      <c r="F11" s="570">
        <f t="shared" si="2"/>
        <v>0</v>
      </c>
      <c r="G11" s="568">
        <f t="shared" si="2"/>
        <v>0</v>
      </c>
      <c r="H11" s="571">
        <f t="shared" si="2"/>
        <v>0</v>
      </c>
      <c r="I11" s="572">
        <f t="shared" si="2"/>
        <v>0</v>
      </c>
      <c r="J11" s="568">
        <f t="shared" si="2"/>
        <v>0</v>
      </c>
      <c r="K11" s="571">
        <f t="shared" si="2"/>
        <v>0</v>
      </c>
      <c r="L11" s="20"/>
    </row>
    <row r="12" spans="1:12" s="593" customFormat="1" ht="13.5" x14ac:dyDescent="0.25">
      <c r="A12" s="416" t="s">
        <v>592</v>
      </c>
      <c r="B12" s="450"/>
      <c r="C12" s="284"/>
      <c r="D12" s="282"/>
      <c r="E12" s="318"/>
      <c r="F12" s="284"/>
      <c r="G12" s="282"/>
      <c r="H12" s="283"/>
      <c r="I12" s="419"/>
      <c r="J12" s="282"/>
      <c r="K12" s="283"/>
      <c r="L12" s="20"/>
    </row>
    <row r="13" spans="1:12" s="593" customFormat="1" ht="13.5" x14ac:dyDescent="0.25">
      <c r="A13" s="416" t="s">
        <v>593</v>
      </c>
      <c r="B13" s="450"/>
      <c r="C13" s="284"/>
      <c r="D13" s="282"/>
      <c r="E13" s="318"/>
      <c r="F13" s="284"/>
      <c r="G13" s="282"/>
      <c r="H13" s="283"/>
      <c r="I13" s="419"/>
      <c r="J13" s="282"/>
      <c r="K13" s="283"/>
      <c r="L13" s="20"/>
    </row>
    <row r="14" spans="1:12" s="593" customFormat="1" ht="13.5" x14ac:dyDescent="0.25">
      <c r="A14" s="416" t="s">
        <v>64</v>
      </c>
      <c r="B14" s="450"/>
      <c r="C14" s="284"/>
      <c r="D14" s="282"/>
      <c r="E14" s="318"/>
      <c r="F14" s="284"/>
      <c r="G14" s="282"/>
      <c r="H14" s="283"/>
      <c r="I14" s="419"/>
      <c r="J14" s="282"/>
      <c r="K14" s="283"/>
      <c r="L14" s="20"/>
    </row>
    <row r="15" spans="1:12" s="593" customFormat="1" ht="13.5" x14ac:dyDescent="0.25">
      <c r="A15" s="382" t="s">
        <v>594</v>
      </c>
      <c r="B15" s="455"/>
      <c r="C15" s="570">
        <f>SUM(C16:C18)</f>
        <v>0</v>
      </c>
      <c r="D15" s="568">
        <f t="shared" ref="D15:K15" si="3">SUM(D16:D18)</f>
        <v>0</v>
      </c>
      <c r="E15" s="569">
        <f t="shared" si="3"/>
        <v>0</v>
      </c>
      <c r="F15" s="570">
        <f t="shared" si="3"/>
        <v>0</v>
      </c>
      <c r="G15" s="568">
        <f t="shared" si="3"/>
        <v>0</v>
      </c>
      <c r="H15" s="571">
        <f t="shared" si="3"/>
        <v>0</v>
      </c>
      <c r="I15" s="572">
        <f t="shared" si="3"/>
        <v>0</v>
      </c>
      <c r="J15" s="568">
        <f t="shared" si="3"/>
        <v>0</v>
      </c>
      <c r="K15" s="571">
        <f t="shared" si="3"/>
        <v>0</v>
      </c>
      <c r="L15" s="20"/>
    </row>
    <row r="16" spans="1:12" s="593" customFormat="1" ht="13.5" x14ac:dyDescent="0.25">
      <c r="A16" s="416" t="s">
        <v>595</v>
      </c>
      <c r="B16" s="450"/>
      <c r="C16" s="284"/>
      <c r="D16" s="282"/>
      <c r="E16" s="318"/>
      <c r="F16" s="284"/>
      <c r="G16" s="282"/>
      <c r="H16" s="283"/>
      <c r="I16" s="419"/>
      <c r="J16" s="282"/>
      <c r="K16" s="283"/>
      <c r="L16" s="20"/>
    </row>
    <row r="17" spans="1:12" s="593" customFormat="1" ht="13.5" x14ac:dyDescent="0.25">
      <c r="A17" s="416" t="s">
        <v>596</v>
      </c>
      <c r="B17" s="450"/>
      <c r="C17" s="284"/>
      <c r="D17" s="282"/>
      <c r="E17" s="318"/>
      <c r="F17" s="284"/>
      <c r="G17" s="282"/>
      <c r="H17" s="283"/>
      <c r="I17" s="419"/>
      <c r="J17" s="282"/>
      <c r="K17" s="283"/>
      <c r="L17" s="20"/>
    </row>
    <row r="18" spans="1:12" s="593" customFormat="1" ht="13.5" x14ac:dyDescent="0.25">
      <c r="A18" s="416" t="s">
        <v>597</v>
      </c>
      <c r="B18" s="450"/>
      <c r="C18" s="284"/>
      <c r="D18" s="282"/>
      <c r="E18" s="318"/>
      <c r="F18" s="284"/>
      <c r="G18" s="282"/>
      <c r="H18" s="283"/>
      <c r="I18" s="419"/>
      <c r="J18" s="282"/>
      <c r="K18" s="283"/>
      <c r="L18" s="20"/>
    </row>
    <row r="19" spans="1:12" s="593" customFormat="1" ht="13.5" x14ac:dyDescent="0.25">
      <c r="A19" s="382" t="s">
        <v>598</v>
      </c>
      <c r="B19" s="450"/>
      <c r="C19" s="570">
        <f t="shared" ref="C19:K19" si="4">SUM(C20:C21)</f>
        <v>0</v>
      </c>
      <c r="D19" s="568">
        <f t="shared" si="4"/>
        <v>0</v>
      </c>
      <c r="E19" s="569">
        <f t="shared" si="4"/>
        <v>0</v>
      </c>
      <c r="F19" s="570">
        <f t="shared" si="4"/>
        <v>0</v>
      </c>
      <c r="G19" s="568">
        <f t="shared" si="4"/>
        <v>0</v>
      </c>
      <c r="H19" s="571">
        <f t="shared" si="4"/>
        <v>0</v>
      </c>
      <c r="I19" s="572">
        <f t="shared" si="4"/>
        <v>0</v>
      </c>
      <c r="J19" s="568">
        <f t="shared" si="4"/>
        <v>0</v>
      </c>
      <c r="K19" s="571">
        <f t="shared" si="4"/>
        <v>0</v>
      </c>
      <c r="L19" s="20"/>
    </row>
    <row r="20" spans="1:12" s="593" customFormat="1" ht="13.5" x14ac:dyDescent="0.25">
      <c r="A20" s="416" t="s">
        <v>597</v>
      </c>
      <c r="B20" s="450"/>
      <c r="C20" s="284"/>
      <c r="D20" s="282"/>
      <c r="E20" s="318"/>
      <c r="F20" s="284"/>
      <c r="G20" s="282"/>
      <c r="H20" s="283"/>
      <c r="I20" s="419"/>
      <c r="J20" s="282"/>
      <c r="K20" s="283"/>
      <c r="L20" s="20"/>
    </row>
    <row r="21" spans="1:12" s="593" customFormat="1" ht="13.5" x14ac:dyDescent="0.25">
      <c r="A21" s="416" t="s">
        <v>599</v>
      </c>
      <c r="B21" s="450"/>
      <c r="C21" s="284"/>
      <c r="D21" s="282"/>
      <c r="E21" s="318"/>
      <c r="F21" s="284"/>
      <c r="G21" s="282"/>
      <c r="H21" s="283"/>
      <c r="I21" s="419"/>
      <c r="J21" s="282"/>
      <c r="K21" s="283"/>
      <c r="L21" s="20"/>
    </row>
    <row r="22" spans="1:12" s="593" customFormat="1" ht="13.5" x14ac:dyDescent="0.25">
      <c r="A22" s="383" t="s">
        <v>600</v>
      </c>
      <c r="B22" s="450"/>
      <c r="C22" s="570">
        <f>SUM(C23:C26)</f>
        <v>0</v>
      </c>
      <c r="D22" s="568">
        <f t="shared" ref="D22:K22" si="5">SUM(D23:D26)</f>
        <v>0</v>
      </c>
      <c r="E22" s="568">
        <f t="shared" si="5"/>
        <v>0</v>
      </c>
      <c r="F22" s="570">
        <f t="shared" si="5"/>
        <v>0</v>
      </c>
      <c r="G22" s="568">
        <f t="shared" si="5"/>
        <v>0</v>
      </c>
      <c r="H22" s="571">
        <f t="shared" si="5"/>
        <v>0</v>
      </c>
      <c r="I22" s="572">
        <f t="shared" si="5"/>
        <v>0</v>
      </c>
      <c r="J22" s="568">
        <f t="shared" si="5"/>
        <v>0</v>
      </c>
      <c r="K22" s="571">
        <f t="shared" si="5"/>
        <v>0</v>
      </c>
      <c r="L22" s="20"/>
    </row>
    <row r="23" spans="1:12" s="593" customFormat="1" ht="13.5" x14ac:dyDescent="0.25">
      <c r="A23" s="416" t="s">
        <v>601</v>
      </c>
      <c r="B23" s="450"/>
      <c r="C23" s="284"/>
      <c r="D23" s="282"/>
      <c r="E23" s="319"/>
      <c r="F23" s="418"/>
      <c r="G23" s="282"/>
      <c r="H23" s="319"/>
      <c r="I23" s="418"/>
      <c r="J23" s="282"/>
      <c r="K23" s="283"/>
      <c r="L23" s="20"/>
    </row>
    <row r="24" spans="1:12" s="593" customFormat="1" ht="13.5" x14ac:dyDescent="0.25">
      <c r="A24" s="416" t="s">
        <v>602</v>
      </c>
      <c r="B24" s="450">
        <v>2</v>
      </c>
      <c r="C24" s="284"/>
      <c r="D24" s="282"/>
      <c r="E24" s="417"/>
      <c r="F24" s="418"/>
      <c r="G24" s="282"/>
      <c r="H24" s="319"/>
      <c r="I24" s="418"/>
      <c r="J24" s="282"/>
      <c r="K24" s="283"/>
      <c r="L24" s="20"/>
    </row>
    <row r="25" spans="1:12" s="593" customFormat="1" ht="13.5" x14ac:dyDescent="0.25">
      <c r="A25" s="416" t="s">
        <v>65</v>
      </c>
      <c r="B25" s="450"/>
      <c r="C25" s="284"/>
      <c r="D25" s="282"/>
      <c r="E25" s="417"/>
      <c r="F25" s="418"/>
      <c r="G25" s="282"/>
      <c r="H25" s="319"/>
      <c r="I25" s="418"/>
      <c r="J25" s="282"/>
      <c r="K25" s="417"/>
      <c r="L25" s="20"/>
    </row>
    <row r="26" spans="1:12" s="593" customFormat="1" ht="13.5" x14ac:dyDescent="0.25">
      <c r="A26" s="416" t="s">
        <v>279</v>
      </c>
      <c r="B26" s="450">
        <v>3</v>
      </c>
      <c r="C26" s="284"/>
      <c r="D26" s="282"/>
      <c r="E26" s="417"/>
      <c r="F26" s="418"/>
      <c r="G26" s="282"/>
      <c r="H26" s="319"/>
      <c r="I26" s="418"/>
      <c r="J26" s="282"/>
      <c r="K26" s="417"/>
      <c r="L26" s="20"/>
    </row>
    <row r="27" spans="1:12" ht="5.0999999999999996" customHeight="1" x14ac:dyDescent="0.25">
      <c r="A27" s="25"/>
      <c r="B27" s="115"/>
      <c r="C27" s="28"/>
      <c r="D27" s="27"/>
      <c r="E27" s="106"/>
      <c r="F27" s="28"/>
      <c r="G27" s="27"/>
      <c r="H27" s="106"/>
      <c r="I27" s="28"/>
      <c r="J27" s="27"/>
      <c r="K27" s="106"/>
    </row>
    <row r="28" spans="1:12" ht="12.75" customHeight="1" x14ac:dyDescent="0.25">
      <c r="A28" s="22" t="s">
        <v>418</v>
      </c>
      <c r="B28" s="115"/>
      <c r="C28" s="573">
        <f t="shared" ref="C28:K28" si="6">SUM(C29:C42)</f>
        <v>0</v>
      </c>
      <c r="D28" s="574">
        <f t="shared" si="6"/>
        <v>0</v>
      </c>
      <c r="E28" s="575">
        <f t="shared" si="6"/>
        <v>0</v>
      </c>
      <c r="F28" s="573">
        <f t="shared" si="6"/>
        <v>0</v>
      </c>
      <c r="G28" s="574">
        <f t="shared" si="6"/>
        <v>0</v>
      </c>
      <c r="H28" s="575">
        <f t="shared" si="6"/>
        <v>0</v>
      </c>
      <c r="I28" s="573">
        <f t="shared" si="6"/>
        <v>0</v>
      </c>
      <c r="J28" s="574">
        <f t="shared" si="6"/>
        <v>0</v>
      </c>
      <c r="K28" s="575">
        <f t="shared" si="6"/>
        <v>0</v>
      </c>
    </row>
    <row r="29" spans="1:12" ht="12.75" customHeight="1" x14ac:dyDescent="0.25">
      <c r="A29" s="383" t="s">
        <v>603</v>
      </c>
      <c r="B29" s="115"/>
      <c r="C29" s="284"/>
      <c r="D29" s="282"/>
      <c r="E29" s="283"/>
      <c r="F29" s="284"/>
      <c r="G29" s="282"/>
      <c r="H29" s="283"/>
      <c r="I29" s="284"/>
      <c r="J29" s="282"/>
      <c r="K29" s="283"/>
    </row>
    <row r="30" spans="1:12" ht="12.75" customHeight="1" x14ac:dyDescent="0.25">
      <c r="A30" s="383" t="s">
        <v>604</v>
      </c>
      <c r="B30" s="115"/>
      <c r="C30" s="284"/>
      <c r="D30" s="282"/>
      <c r="E30" s="283"/>
      <c r="F30" s="284"/>
      <c r="G30" s="282"/>
      <c r="H30" s="283"/>
      <c r="I30" s="284"/>
      <c r="J30" s="282"/>
      <c r="K30" s="283"/>
    </row>
    <row r="31" spans="1:12" ht="12.75" customHeight="1" x14ac:dyDescent="0.25">
      <c r="A31" s="383" t="s">
        <v>605</v>
      </c>
      <c r="B31" s="115"/>
      <c r="C31" s="284"/>
      <c r="D31" s="282"/>
      <c r="E31" s="283"/>
      <c r="F31" s="284"/>
      <c r="G31" s="282"/>
      <c r="H31" s="283"/>
      <c r="I31" s="284"/>
      <c r="J31" s="282"/>
      <c r="K31" s="283"/>
    </row>
    <row r="32" spans="1:12" ht="12.75" customHeight="1" x14ac:dyDescent="0.25">
      <c r="A32" s="383" t="s">
        <v>606</v>
      </c>
      <c r="B32" s="115"/>
      <c r="C32" s="284"/>
      <c r="D32" s="282"/>
      <c r="E32" s="283"/>
      <c r="F32" s="284"/>
      <c r="G32" s="282"/>
      <c r="H32" s="283"/>
      <c r="I32" s="284"/>
      <c r="J32" s="282"/>
      <c r="K32" s="283"/>
    </row>
    <row r="33" spans="1:11" ht="12.75" customHeight="1" x14ac:dyDescent="0.25">
      <c r="A33" s="383" t="s">
        <v>117</v>
      </c>
      <c r="B33" s="115"/>
      <c r="C33" s="284"/>
      <c r="D33" s="282"/>
      <c r="E33" s="283"/>
      <c r="F33" s="284"/>
      <c r="G33" s="282"/>
      <c r="H33" s="283"/>
      <c r="I33" s="284"/>
      <c r="J33" s="282"/>
      <c r="K33" s="283"/>
    </row>
    <row r="34" spans="1:11" ht="12.75" customHeight="1" x14ac:dyDescent="0.25">
      <c r="A34" s="383" t="s">
        <v>607</v>
      </c>
      <c r="B34" s="115"/>
      <c r="C34" s="284"/>
      <c r="D34" s="282"/>
      <c r="E34" s="283"/>
      <c r="F34" s="284"/>
      <c r="G34" s="282"/>
      <c r="H34" s="283"/>
      <c r="I34" s="284"/>
      <c r="J34" s="282"/>
      <c r="K34" s="283"/>
    </row>
    <row r="35" spans="1:11" ht="12.75" customHeight="1" x14ac:dyDescent="0.25">
      <c r="A35" s="383" t="s">
        <v>608</v>
      </c>
      <c r="B35" s="115"/>
      <c r="C35" s="284"/>
      <c r="D35" s="282"/>
      <c r="E35" s="283"/>
      <c r="F35" s="284"/>
      <c r="G35" s="282"/>
      <c r="H35" s="283"/>
      <c r="I35" s="284"/>
      <c r="J35" s="282"/>
      <c r="K35" s="283"/>
    </row>
    <row r="36" spans="1:11" ht="12.75" customHeight="1" x14ac:dyDescent="0.25">
      <c r="A36" s="383" t="s">
        <v>609</v>
      </c>
      <c r="B36" s="115"/>
      <c r="C36" s="284"/>
      <c r="D36" s="282"/>
      <c r="E36" s="283"/>
      <c r="F36" s="284"/>
      <c r="G36" s="282"/>
      <c r="H36" s="283"/>
      <c r="I36" s="284"/>
      <c r="J36" s="282"/>
      <c r="K36" s="283"/>
    </row>
    <row r="37" spans="1:11" ht="12.75" customHeight="1" x14ac:dyDescent="0.25">
      <c r="A37" s="383" t="s">
        <v>160</v>
      </c>
      <c r="B37" s="115"/>
      <c r="C37" s="284"/>
      <c r="D37" s="282"/>
      <c r="E37" s="283"/>
      <c r="F37" s="284"/>
      <c r="G37" s="282"/>
      <c r="H37" s="283"/>
      <c r="I37" s="284"/>
      <c r="J37" s="282"/>
      <c r="K37" s="283"/>
    </row>
    <row r="38" spans="1:11" ht="12.75" customHeight="1" x14ac:dyDescent="0.25">
      <c r="A38" s="383" t="s">
        <v>323</v>
      </c>
      <c r="B38" s="115"/>
      <c r="C38" s="284"/>
      <c r="D38" s="282"/>
      <c r="E38" s="283"/>
      <c r="F38" s="284"/>
      <c r="G38" s="282"/>
      <c r="H38" s="283"/>
      <c r="I38" s="284"/>
      <c r="J38" s="282"/>
      <c r="K38" s="283"/>
    </row>
    <row r="39" spans="1:11" ht="12.75" customHeight="1" x14ac:dyDescent="0.25">
      <c r="A39" s="383" t="s">
        <v>324</v>
      </c>
      <c r="B39" s="115"/>
      <c r="C39" s="284"/>
      <c r="D39" s="282"/>
      <c r="E39" s="283"/>
      <c r="F39" s="284"/>
      <c r="G39" s="282"/>
      <c r="H39" s="283"/>
      <c r="I39" s="284"/>
      <c r="J39" s="282"/>
      <c r="K39" s="283"/>
    </row>
    <row r="40" spans="1:11" ht="12.75" customHeight="1" x14ac:dyDescent="0.25">
      <c r="A40" s="383" t="s">
        <v>610</v>
      </c>
      <c r="B40" s="115"/>
      <c r="C40" s="284"/>
      <c r="D40" s="282"/>
      <c r="E40" s="283"/>
      <c r="F40" s="284"/>
      <c r="G40" s="282"/>
      <c r="H40" s="283"/>
      <c r="I40" s="284"/>
      <c r="J40" s="282"/>
      <c r="K40" s="283"/>
    </row>
    <row r="41" spans="1:11" ht="12.75" customHeight="1" x14ac:dyDescent="0.25">
      <c r="A41" s="383" t="s">
        <v>611</v>
      </c>
      <c r="B41" s="115"/>
      <c r="C41" s="284"/>
      <c r="D41" s="282"/>
      <c r="E41" s="283"/>
      <c r="F41" s="284"/>
      <c r="G41" s="282"/>
      <c r="H41" s="283"/>
      <c r="I41" s="284"/>
      <c r="J41" s="282"/>
      <c r="K41" s="283"/>
    </row>
    <row r="42" spans="1:11" ht="12.75" customHeight="1" x14ac:dyDescent="0.25">
      <c r="A42" s="24" t="s">
        <v>279</v>
      </c>
      <c r="B42" s="115"/>
      <c r="C42" s="284"/>
      <c r="D42" s="282"/>
      <c r="E42" s="283"/>
      <c r="F42" s="284"/>
      <c r="G42" s="282"/>
      <c r="H42" s="283"/>
      <c r="I42" s="284"/>
      <c r="J42" s="282"/>
      <c r="K42" s="283"/>
    </row>
    <row r="43" spans="1:11" ht="5.0999999999999996" customHeight="1" x14ac:dyDescent="0.25">
      <c r="A43" s="25"/>
      <c r="B43" s="115"/>
      <c r="C43" s="28"/>
      <c r="D43" s="27"/>
      <c r="E43" s="106"/>
      <c r="F43" s="28"/>
      <c r="G43" s="27"/>
      <c r="H43" s="106"/>
      <c r="I43" s="28"/>
      <c r="J43" s="27"/>
      <c r="K43" s="106"/>
    </row>
    <row r="44" spans="1:11" ht="17.25" customHeight="1" x14ac:dyDescent="0.25">
      <c r="A44" s="414" t="s">
        <v>226</v>
      </c>
      <c r="B44" s="450"/>
      <c r="C44" s="28">
        <f>SUM(C45:C46)</f>
        <v>0</v>
      </c>
      <c r="D44" s="27">
        <f t="shared" ref="D44:K44" si="7">SUM(D45:D46)</f>
        <v>0</v>
      </c>
      <c r="E44" s="421">
        <f t="shared" si="7"/>
        <v>0</v>
      </c>
      <c r="F44" s="422">
        <f t="shared" si="7"/>
        <v>0</v>
      </c>
      <c r="G44" s="27">
        <f t="shared" si="7"/>
        <v>0</v>
      </c>
      <c r="H44" s="26">
        <f t="shared" si="7"/>
        <v>0</v>
      </c>
      <c r="I44" s="422">
        <f t="shared" si="7"/>
        <v>0</v>
      </c>
      <c r="J44" s="27">
        <f t="shared" si="7"/>
        <v>0</v>
      </c>
      <c r="K44" s="421">
        <f t="shared" si="7"/>
        <v>0</v>
      </c>
    </row>
    <row r="45" spans="1:11" ht="11.25" customHeight="1" x14ac:dyDescent="0.25">
      <c r="A45" s="383" t="s">
        <v>612</v>
      </c>
      <c r="B45" s="450"/>
      <c r="C45" s="452"/>
      <c r="D45" s="425"/>
      <c r="E45" s="426"/>
      <c r="F45" s="427"/>
      <c r="G45" s="425"/>
      <c r="H45" s="428"/>
      <c r="I45" s="427"/>
      <c r="J45" s="425"/>
      <c r="K45" s="426"/>
    </row>
    <row r="46" spans="1:11" ht="11.25" customHeight="1" x14ac:dyDescent="0.25">
      <c r="A46" s="382" t="s">
        <v>279</v>
      </c>
      <c r="B46" s="450"/>
      <c r="C46" s="453"/>
      <c r="D46" s="429"/>
      <c r="E46" s="430"/>
      <c r="F46" s="431"/>
      <c r="G46" s="429"/>
      <c r="H46" s="432"/>
      <c r="I46" s="431"/>
      <c r="J46" s="429"/>
      <c r="K46" s="430"/>
    </row>
    <row r="47" spans="1:11" ht="5.0999999999999996" customHeight="1" x14ac:dyDescent="0.25">
      <c r="A47" s="420"/>
      <c r="B47" s="450"/>
      <c r="C47" s="28"/>
      <c r="D47" s="27"/>
      <c r="E47" s="421"/>
      <c r="F47" s="422"/>
      <c r="G47" s="27"/>
      <c r="H47" s="26"/>
      <c r="I47" s="422"/>
      <c r="J47" s="27"/>
      <c r="K47" s="421"/>
    </row>
    <row r="48" spans="1:11" ht="17.25" customHeight="1" x14ac:dyDescent="0.25">
      <c r="A48" s="414" t="s">
        <v>227</v>
      </c>
      <c r="B48" s="450"/>
      <c r="C48" s="31">
        <f>SUM(C49:C50)</f>
        <v>0</v>
      </c>
      <c r="D48" s="30">
        <f t="shared" ref="D48:K48" si="8">SUM(D49:D50)</f>
        <v>0</v>
      </c>
      <c r="E48" s="433">
        <f t="shared" si="8"/>
        <v>0</v>
      </c>
      <c r="F48" s="434">
        <f t="shared" si="8"/>
        <v>0</v>
      </c>
      <c r="G48" s="30">
        <f t="shared" si="8"/>
        <v>0</v>
      </c>
      <c r="H48" s="29">
        <f t="shared" si="8"/>
        <v>0</v>
      </c>
      <c r="I48" s="434">
        <f t="shared" si="8"/>
        <v>0</v>
      </c>
      <c r="J48" s="30">
        <f t="shared" si="8"/>
        <v>0</v>
      </c>
      <c r="K48" s="433">
        <f t="shared" si="8"/>
        <v>0</v>
      </c>
    </row>
    <row r="49" spans="1:11" ht="11.25" customHeight="1" x14ac:dyDescent="0.25">
      <c r="A49" s="383" t="s">
        <v>613</v>
      </c>
      <c r="B49" s="450"/>
      <c r="C49" s="454"/>
      <c r="D49" s="435"/>
      <c r="E49" s="436"/>
      <c r="F49" s="437"/>
      <c r="G49" s="435"/>
      <c r="H49" s="438"/>
      <c r="I49" s="437"/>
      <c r="J49" s="435"/>
      <c r="K49" s="436"/>
    </row>
    <row r="50" spans="1:11" ht="11.25" customHeight="1" x14ac:dyDescent="0.25">
      <c r="A50" s="383" t="s">
        <v>279</v>
      </c>
      <c r="B50" s="450"/>
      <c r="C50" s="287"/>
      <c r="D50" s="285"/>
      <c r="E50" s="439"/>
      <c r="F50" s="440"/>
      <c r="G50" s="285"/>
      <c r="H50" s="441"/>
      <c r="I50" s="440"/>
      <c r="J50" s="285"/>
      <c r="K50" s="439"/>
    </row>
    <row r="51" spans="1:11" ht="5.0999999999999996" customHeight="1" x14ac:dyDescent="0.25">
      <c r="A51" s="420"/>
      <c r="B51" s="450"/>
      <c r="C51" s="28"/>
      <c r="D51" s="27"/>
      <c r="E51" s="421"/>
      <c r="F51" s="422"/>
      <c r="G51" s="27"/>
      <c r="H51" s="26"/>
      <c r="I51" s="422"/>
      <c r="J51" s="27"/>
      <c r="K51" s="421"/>
    </row>
    <row r="52" spans="1:11" ht="12.75" customHeight="1" x14ac:dyDescent="0.25">
      <c r="A52" s="22" t="s">
        <v>228</v>
      </c>
      <c r="B52" s="395"/>
      <c r="C52" s="31">
        <f t="shared" ref="C52:K52" si="9">SUM(C53:C64)</f>
        <v>0</v>
      </c>
      <c r="D52" s="30">
        <f t="shared" si="9"/>
        <v>0</v>
      </c>
      <c r="E52" s="126">
        <f t="shared" si="9"/>
        <v>0</v>
      </c>
      <c r="F52" s="31">
        <f t="shared" si="9"/>
        <v>0</v>
      </c>
      <c r="G52" s="30">
        <f t="shared" si="9"/>
        <v>0</v>
      </c>
      <c r="H52" s="126">
        <f t="shared" si="9"/>
        <v>0</v>
      </c>
      <c r="I52" s="31">
        <f t="shared" si="9"/>
        <v>0</v>
      </c>
      <c r="J52" s="30">
        <f t="shared" si="9"/>
        <v>0</v>
      </c>
      <c r="K52" s="126">
        <f t="shared" si="9"/>
        <v>0</v>
      </c>
    </row>
    <row r="53" spans="1:11" ht="12.75" customHeight="1" x14ac:dyDescent="0.25">
      <c r="A53" s="382" t="s">
        <v>614</v>
      </c>
      <c r="B53" s="395"/>
      <c r="C53" s="284"/>
      <c r="D53" s="282"/>
      <c r="E53" s="283"/>
      <c r="F53" s="284"/>
      <c r="G53" s="282"/>
      <c r="H53" s="283"/>
      <c r="I53" s="284"/>
      <c r="J53" s="282"/>
      <c r="K53" s="283"/>
    </row>
    <row r="54" spans="1:11" ht="12.75" customHeight="1" x14ac:dyDescent="0.25">
      <c r="A54" s="382" t="s">
        <v>278</v>
      </c>
      <c r="B54" s="395"/>
      <c r="C54" s="284"/>
      <c r="D54" s="282"/>
      <c r="E54" s="283"/>
      <c r="F54" s="284"/>
      <c r="G54" s="282"/>
      <c r="H54" s="283"/>
      <c r="I54" s="284"/>
      <c r="J54" s="282"/>
      <c r="K54" s="283"/>
    </row>
    <row r="55" spans="1:11" ht="12.75" customHeight="1" x14ac:dyDescent="0.25">
      <c r="A55" s="382" t="s">
        <v>19</v>
      </c>
      <c r="B55" s="395"/>
      <c r="C55" s="284"/>
      <c r="D55" s="282"/>
      <c r="E55" s="283"/>
      <c r="F55" s="284"/>
      <c r="G55" s="282"/>
      <c r="H55" s="283"/>
      <c r="I55" s="284"/>
      <c r="J55" s="282"/>
      <c r="K55" s="283"/>
    </row>
    <row r="56" spans="1:11" ht="12.75" customHeight="1" x14ac:dyDescent="0.25">
      <c r="A56" s="382" t="s">
        <v>615</v>
      </c>
      <c r="B56" s="395"/>
      <c r="C56" s="284"/>
      <c r="D56" s="282"/>
      <c r="E56" s="283"/>
      <c r="F56" s="284"/>
      <c r="G56" s="282"/>
      <c r="H56" s="283"/>
      <c r="I56" s="284"/>
      <c r="J56" s="282"/>
      <c r="K56" s="283"/>
    </row>
    <row r="57" spans="1:11" ht="12.75" customHeight="1" x14ac:dyDescent="0.25">
      <c r="A57" s="382" t="s">
        <v>616</v>
      </c>
      <c r="B57" s="395"/>
      <c r="C57" s="284"/>
      <c r="D57" s="282"/>
      <c r="E57" s="283"/>
      <c r="F57" s="284"/>
      <c r="G57" s="282"/>
      <c r="H57" s="283"/>
      <c r="I57" s="284"/>
      <c r="J57" s="282"/>
      <c r="K57" s="283"/>
    </row>
    <row r="58" spans="1:11" ht="12.75" customHeight="1" x14ac:dyDescent="0.25">
      <c r="A58" s="382" t="s">
        <v>20</v>
      </c>
      <c r="B58" s="395"/>
      <c r="C58" s="284"/>
      <c r="D58" s="282"/>
      <c r="E58" s="283"/>
      <c r="F58" s="284"/>
      <c r="G58" s="282"/>
      <c r="H58" s="283"/>
      <c r="I58" s="284"/>
      <c r="J58" s="282"/>
      <c r="K58" s="283"/>
    </row>
    <row r="59" spans="1:11" ht="12.75" customHeight="1" x14ac:dyDescent="0.25">
      <c r="A59" s="382" t="s">
        <v>21</v>
      </c>
      <c r="B59" s="395"/>
      <c r="C59" s="284"/>
      <c r="D59" s="282"/>
      <c r="E59" s="283"/>
      <c r="F59" s="284"/>
      <c r="G59" s="282"/>
      <c r="H59" s="283"/>
      <c r="I59" s="284"/>
      <c r="J59" s="282"/>
      <c r="K59" s="283"/>
    </row>
    <row r="60" spans="1:11" ht="12.75" customHeight="1" x14ac:dyDescent="0.25">
      <c r="A60" s="382" t="s">
        <v>156</v>
      </c>
      <c r="B60" s="395"/>
      <c r="C60" s="284"/>
      <c r="D60" s="282"/>
      <c r="E60" s="283"/>
      <c r="F60" s="284"/>
      <c r="G60" s="282"/>
      <c r="H60" s="283"/>
      <c r="I60" s="284"/>
      <c r="J60" s="282"/>
      <c r="K60" s="283"/>
    </row>
    <row r="61" spans="1:11" ht="12.75" customHeight="1" x14ac:dyDescent="0.25">
      <c r="A61" s="382" t="s">
        <v>617</v>
      </c>
      <c r="B61" s="395"/>
      <c r="C61" s="284"/>
      <c r="D61" s="282"/>
      <c r="E61" s="283"/>
      <c r="F61" s="284"/>
      <c r="G61" s="282"/>
      <c r="H61" s="283"/>
      <c r="I61" s="284"/>
      <c r="J61" s="282"/>
      <c r="K61" s="283"/>
    </row>
    <row r="62" spans="1:11" ht="12.75" customHeight="1" x14ac:dyDescent="0.25">
      <c r="A62" s="382" t="s">
        <v>618</v>
      </c>
      <c r="B62" s="395"/>
      <c r="C62" s="284"/>
      <c r="D62" s="282"/>
      <c r="E62" s="283"/>
      <c r="F62" s="284"/>
      <c r="G62" s="282"/>
      <c r="H62" s="283"/>
      <c r="I62" s="284"/>
      <c r="J62" s="282"/>
      <c r="K62" s="283"/>
    </row>
    <row r="63" spans="1:11" ht="12.75" customHeight="1" x14ac:dyDescent="0.25">
      <c r="A63" s="382" t="s">
        <v>619</v>
      </c>
      <c r="B63" s="395"/>
      <c r="C63" s="284"/>
      <c r="D63" s="282"/>
      <c r="E63" s="283"/>
      <c r="F63" s="284"/>
      <c r="G63" s="282"/>
      <c r="H63" s="283"/>
      <c r="I63" s="284"/>
      <c r="J63" s="282"/>
      <c r="K63" s="283"/>
    </row>
    <row r="64" spans="1:11" ht="12.75" customHeight="1" x14ac:dyDescent="0.25">
      <c r="A64" s="24" t="s">
        <v>279</v>
      </c>
      <c r="B64" s="395"/>
      <c r="C64" s="284"/>
      <c r="D64" s="282"/>
      <c r="E64" s="283"/>
      <c r="F64" s="284"/>
      <c r="G64" s="282"/>
      <c r="H64" s="283"/>
      <c r="I64" s="284"/>
      <c r="J64" s="282"/>
      <c r="K64" s="283"/>
    </row>
    <row r="65" spans="1:23" ht="5.0999999999999996" customHeight="1" x14ac:dyDescent="0.25">
      <c r="A65" s="442"/>
      <c r="B65" s="450"/>
      <c r="C65" s="28"/>
      <c r="D65" s="27"/>
      <c r="E65" s="421"/>
      <c r="F65" s="422"/>
      <c r="G65" s="27"/>
      <c r="H65" s="26"/>
      <c r="I65" s="422"/>
      <c r="J65" s="27"/>
      <c r="K65" s="421"/>
    </row>
    <row r="66" spans="1:23" ht="17.25" customHeight="1" x14ac:dyDescent="0.25">
      <c r="A66" s="414" t="s">
        <v>649</v>
      </c>
      <c r="B66" s="450"/>
      <c r="C66" s="28">
        <f>SUM(C67:C68)</f>
        <v>0</v>
      </c>
      <c r="D66" s="27">
        <f t="shared" ref="D66:K66" si="10">SUM(D67:D68)</f>
        <v>0</v>
      </c>
      <c r="E66" s="421">
        <f t="shared" si="10"/>
        <v>0</v>
      </c>
      <c r="F66" s="422">
        <f t="shared" si="10"/>
        <v>0</v>
      </c>
      <c r="G66" s="27">
        <f t="shared" si="10"/>
        <v>0</v>
      </c>
      <c r="H66" s="26">
        <f t="shared" si="10"/>
        <v>0</v>
      </c>
      <c r="I66" s="422">
        <f t="shared" si="10"/>
        <v>0</v>
      </c>
      <c r="J66" s="27">
        <f t="shared" si="10"/>
        <v>0</v>
      </c>
      <c r="K66" s="421">
        <f t="shared" si="10"/>
        <v>0</v>
      </c>
    </row>
    <row r="67" spans="1:23" ht="11.25" customHeight="1" x14ac:dyDescent="0.25">
      <c r="A67" s="443" t="s">
        <v>364</v>
      </c>
      <c r="B67" s="450"/>
      <c r="C67" s="454"/>
      <c r="D67" s="435"/>
      <c r="E67" s="436"/>
      <c r="F67" s="437"/>
      <c r="G67" s="435"/>
      <c r="H67" s="438"/>
      <c r="I67" s="437"/>
      <c r="J67" s="435"/>
      <c r="K67" s="436"/>
    </row>
    <row r="68" spans="1:23" ht="11.25" customHeight="1" x14ac:dyDescent="0.25">
      <c r="A68" s="443"/>
      <c r="B68" s="450"/>
      <c r="C68" s="287"/>
      <c r="D68" s="285"/>
      <c r="E68" s="439"/>
      <c r="F68" s="440"/>
      <c r="G68" s="285"/>
      <c r="H68" s="441"/>
      <c r="I68" s="440"/>
      <c r="J68" s="285"/>
      <c r="K68" s="439"/>
    </row>
    <row r="69" spans="1:23" ht="5.0999999999999996" customHeight="1" x14ac:dyDescent="0.25">
      <c r="A69" s="442"/>
      <c r="B69" s="450"/>
      <c r="C69" s="28"/>
      <c r="D69" s="27"/>
      <c r="E69" s="421"/>
      <c r="F69" s="422"/>
      <c r="G69" s="27"/>
      <c r="H69" s="26"/>
      <c r="I69" s="422"/>
      <c r="J69" s="27"/>
      <c r="K69" s="421"/>
    </row>
    <row r="70" spans="1:23" ht="17.25" customHeight="1" x14ac:dyDescent="0.25">
      <c r="A70" s="414" t="s">
        <v>40</v>
      </c>
      <c r="B70" s="450"/>
      <c r="C70" s="28">
        <f>SUM(C71:C72)</f>
        <v>0</v>
      </c>
      <c r="D70" s="27">
        <f t="shared" ref="D70:K70" si="11">SUM(D71:D72)</f>
        <v>0</v>
      </c>
      <c r="E70" s="421">
        <f t="shared" si="11"/>
        <v>0</v>
      </c>
      <c r="F70" s="422">
        <f t="shared" si="11"/>
        <v>0</v>
      </c>
      <c r="G70" s="27">
        <f t="shared" si="11"/>
        <v>0</v>
      </c>
      <c r="H70" s="26">
        <f t="shared" si="11"/>
        <v>0</v>
      </c>
      <c r="I70" s="422">
        <f t="shared" si="11"/>
        <v>0</v>
      </c>
      <c r="J70" s="27">
        <f t="shared" si="11"/>
        <v>0</v>
      </c>
      <c r="K70" s="421">
        <f t="shared" si="11"/>
        <v>0</v>
      </c>
    </row>
    <row r="71" spans="1:23" ht="11.25" customHeight="1" x14ac:dyDescent="0.25">
      <c r="A71" s="443" t="s">
        <v>364</v>
      </c>
      <c r="B71" s="450"/>
      <c r="C71" s="454"/>
      <c r="D71" s="435"/>
      <c r="E71" s="436"/>
      <c r="F71" s="437"/>
      <c r="G71" s="435"/>
      <c r="H71" s="438"/>
      <c r="I71" s="437"/>
      <c r="J71" s="435"/>
      <c r="K71" s="436"/>
    </row>
    <row r="72" spans="1:23" ht="11.25" customHeight="1" x14ac:dyDescent="0.25">
      <c r="A72" s="443"/>
      <c r="B72" s="450"/>
      <c r="C72" s="287"/>
      <c r="D72" s="285"/>
      <c r="E72" s="439"/>
      <c r="F72" s="440"/>
      <c r="G72" s="285"/>
      <c r="H72" s="441"/>
      <c r="I72" s="440"/>
      <c r="J72" s="285"/>
      <c r="K72" s="439"/>
    </row>
    <row r="73" spans="1:23" ht="5.0999999999999996" customHeight="1" x14ac:dyDescent="0.25">
      <c r="A73" s="25"/>
      <c r="B73" s="395"/>
      <c r="C73" s="28"/>
      <c r="D73" s="27"/>
      <c r="E73" s="106"/>
      <c r="F73" s="28"/>
      <c r="G73" s="27"/>
      <c r="H73" s="106"/>
      <c r="I73" s="28"/>
      <c r="J73" s="27"/>
      <c r="K73" s="106"/>
    </row>
    <row r="74" spans="1:23" ht="17.25" customHeight="1" x14ac:dyDescent="0.25">
      <c r="A74" s="414" t="s">
        <v>68</v>
      </c>
      <c r="B74" s="450"/>
      <c r="C74" s="28">
        <f>SUM(C75:C76)</f>
        <v>0</v>
      </c>
      <c r="D74" s="27">
        <f t="shared" ref="D74:K74" si="12">SUM(D75:D76)</f>
        <v>0</v>
      </c>
      <c r="E74" s="421">
        <f t="shared" si="12"/>
        <v>0</v>
      </c>
      <c r="F74" s="422">
        <f t="shared" si="12"/>
        <v>0</v>
      </c>
      <c r="G74" s="27">
        <f t="shared" si="12"/>
        <v>0</v>
      </c>
      <c r="H74" s="26">
        <f t="shared" si="12"/>
        <v>0</v>
      </c>
      <c r="I74" s="422">
        <f t="shared" si="12"/>
        <v>0</v>
      </c>
      <c r="J74" s="27">
        <f t="shared" si="12"/>
        <v>0</v>
      </c>
      <c r="K74" s="421">
        <f t="shared" si="12"/>
        <v>0</v>
      </c>
    </row>
    <row r="75" spans="1:23" ht="11.25" customHeight="1" x14ac:dyDescent="0.25">
      <c r="A75" s="382" t="s">
        <v>199</v>
      </c>
      <c r="B75" s="450"/>
      <c r="C75" s="454"/>
      <c r="D75" s="435"/>
      <c r="E75" s="436"/>
      <c r="F75" s="437"/>
      <c r="G75" s="435"/>
      <c r="H75" s="438"/>
      <c r="I75" s="437"/>
      <c r="J75" s="435"/>
      <c r="K75" s="436"/>
    </row>
    <row r="76" spans="1:23" ht="11.25" customHeight="1" x14ac:dyDescent="0.25">
      <c r="A76" s="587" t="s">
        <v>620</v>
      </c>
      <c r="B76" s="450"/>
      <c r="C76" s="287"/>
      <c r="D76" s="285"/>
      <c r="E76" s="439"/>
      <c r="F76" s="440"/>
      <c r="G76" s="285"/>
      <c r="H76" s="441"/>
      <c r="I76" s="440"/>
      <c r="J76" s="285"/>
      <c r="K76" s="439"/>
    </row>
    <row r="77" spans="1:23" ht="5.0999999999999996" customHeight="1" x14ac:dyDescent="0.25">
      <c r="A77" s="420"/>
      <c r="B77" s="450"/>
      <c r="C77" s="31"/>
      <c r="D77" s="30"/>
      <c r="E77" s="433"/>
      <c r="F77" s="434"/>
      <c r="G77" s="30"/>
      <c r="H77" s="29"/>
      <c r="I77" s="434"/>
      <c r="J77" s="30"/>
      <c r="K77" s="433"/>
    </row>
    <row r="78" spans="1:23" ht="12.75" customHeight="1" x14ac:dyDescent="0.25">
      <c r="A78" s="32" t="s">
        <v>986</v>
      </c>
      <c r="B78" s="451"/>
      <c r="C78" s="34">
        <f>C7+C28+C44+C48+C52+C66+C70+C74</f>
        <v>0</v>
      </c>
      <c r="D78" s="33">
        <f t="shared" ref="D78:K78" si="13">D7+D28+D44+D48+D52+D66+D70+D74</f>
        <v>0</v>
      </c>
      <c r="E78" s="135">
        <f t="shared" si="13"/>
        <v>0</v>
      </c>
      <c r="F78" s="34">
        <f t="shared" si="13"/>
        <v>0</v>
      </c>
      <c r="G78" s="33">
        <f t="shared" si="13"/>
        <v>0</v>
      </c>
      <c r="H78" s="135">
        <f t="shared" si="13"/>
        <v>0</v>
      </c>
      <c r="I78" s="34">
        <f t="shared" si="13"/>
        <v>0</v>
      </c>
      <c r="J78" s="33">
        <f t="shared" si="13"/>
        <v>0</v>
      </c>
      <c r="K78" s="135">
        <f t="shared" si="13"/>
        <v>0</v>
      </c>
      <c r="M78" s="39"/>
      <c r="N78" s="39"/>
      <c r="O78" s="39"/>
      <c r="P78" s="39"/>
      <c r="Q78" s="39"/>
      <c r="R78" s="39"/>
      <c r="S78" s="39"/>
      <c r="T78" s="39"/>
      <c r="U78" s="39"/>
      <c r="V78" s="39"/>
      <c r="W78" s="39"/>
    </row>
    <row r="79" spans="1:23" ht="12.75" customHeight="1" x14ac:dyDescent="0.25">
      <c r="A79" s="38"/>
      <c r="B79" s="444"/>
      <c r="C79" s="29"/>
      <c r="D79" s="29"/>
      <c r="E79" s="29"/>
      <c r="F79" s="29"/>
      <c r="G79" s="29"/>
      <c r="H79" s="29"/>
      <c r="I79" s="29"/>
      <c r="J79" s="29"/>
      <c r="K79" s="29"/>
      <c r="M79" s="39"/>
      <c r="N79" s="39"/>
      <c r="O79" s="39"/>
      <c r="P79" s="39"/>
      <c r="Q79" s="39"/>
      <c r="R79" s="39"/>
      <c r="S79" s="39"/>
      <c r="T79" s="39"/>
      <c r="U79" s="39"/>
      <c r="V79" s="39"/>
      <c r="W79" s="39"/>
    </row>
    <row r="80" spans="1:23" ht="12.75" customHeight="1" x14ac:dyDescent="0.25">
      <c r="A80" s="445" t="s">
        <v>278</v>
      </c>
      <c r="B80" s="446"/>
      <c r="C80" s="447">
        <f t="shared" ref="C80:K80" si="14">SUM(C81:C84)</f>
        <v>0</v>
      </c>
      <c r="D80" s="448">
        <f t="shared" si="14"/>
        <v>0</v>
      </c>
      <c r="E80" s="449">
        <f t="shared" si="14"/>
        <v>0</v>
      </c>
      <c r="F80" s="447">
        <f t="shared" si="14"/>
        <v>0</v>
      </c>
      <c r="G80" s="448">
        <f t="shared" si="14"/>
        <v>0</v>
      </c>
      <c r="H80" s="449">
        <f t="shared" si="14"/>
        <v>0</v>
      </c>
      <c r="I80" s="447">
        <f t="shared" si="14"/>
        <v>0</v>
      </c>
      <c r="J80" s="448">
        <f t="shared" si="14"/>
        <v>0</v>
      </c>
      <c r="K80" s="449">
        <f t="shared" si="14"/>
        <v>0</v>
      </c>
    </row>
    <row r="81" spans="1:23" ht="12.75" customHeight="1" x14ac:dyDescent="0.25">
      <c r="A81" s="24" t="s">
        <v>119</v>
      </c>
      <c r="B81" s="115"/>
      <c r="C81" s="284"/>
      <c r="D81" s="282"/>
      <c r="E81" s="283"/>
      <c r="F81" s="284"/>
      <c r="G81" s="282"/>
      <c r="H81" s="283"/>
      <c r="I81" s="284"/>
      <c r="J81" s="282"/>
      <c r="K81" s="283"/>
    </row>
    <row r="82" spans="1:23" ht="12.75" customHeight="1" x14ac:dyDescent="0.25">
      <c r="A82" s="24" t="s">
        <v>157</v>
      </c>
      <c r="B82" s="115"/>
      <c r="C82" s="284"/>
      <c r="D82" s="282"/>
      <c r="E82" s="283"/>
      <c r="F82" s="284"/>
      <c r="G82" s="282"/>
      <c r="H82" s="283"/>
      <c r="I82" s="284"/>
      <c r="J82" s="282"/>
      <c r="K82" s="283"/>
    </row>
    <row r="83" spans="1:23" ht="12.75" customHeight="1" x14ac:dyDescent="0.25">
      <c r="A83" s="24" t="s">
        <v>158</v>
      </c>
      <c r="B83" s="115"/>
      <c r="C83" s="284"/>
      <c r="D83" s="282"/>
      <c r="E83" s="283"/>
      <c r="F83" s="284"/>
      <c r="G83" s="282"/>
      <c r="H83" s="283"/>
      <c r="I83" s="284"/>
      <c r="J83" s="282"/>
      <c r="K83" s="283"/>
    </row>
    <row r="84" spans="1:23" ht="12.75" customHeight="1" x14ac:dyDescent="0.25">
      <c r="A84" s="365" t="s">
        <v>159</v>
      </c>
      <c r="B84" s="366"/>
      <c r="C84" s="306"/>
      <c r="D84" s="307"/>
      <c r="E84" s="308"/>
      <c r="F84" s="306"/>
      <c r="G84" s="307"/>
      <c r="H84" s="308"/>
      <c r="I84" s="306"/>
      <c r="J84" s="307"/>
      <c r="K84" s="308"/>
    </row>
    <row r="85" spans="1:23" ht="12.75" customHeight="1" x14ac:dyDescent="0.25">
      <c r="A85" s="38"/>
      <c r="B85" s="36"/>
      <c r="C85" s="29"/>
      <c r="D85" s="29"/>
      <c r="E85" s="29"/>
      <c r="F85" s="29"/>
      <c r="G85" s="29"/>
      <c r="H85" s="29"/>
      <c r="I85" s="29"/>
      <c r="J85" s="29"/>
      <c r="K85" s="29"/>
      <c r="L85" s="39"/>
      <c r="M85" s="39"/>
      <c r="N85" s="39"/>
      <c r="O85" s="39"/>
      <c r="P85" s="39"/>
      <c r="Q85" s="39"/>
      <c r="R85" s="39"/>
      <c r="S85" s="39"/>
      <c r="T85" s="39"/>
      <c r="U85" s="39"/>
      <c r="V85" s="39"/>
      <c r="W85" s="39"/>
    </row>
    <row r="86" spans="1:23" ht="12.75" customHeight="1" x14ac:dyDescent="0.25">
      <c r="A86" s="35"/>
      <c r="B86" s="36"/>
      <c r="C86" s="39"/>
      <c r="D86" s="39"/>
      <c r="E86" s="39"/>
      <c r="F86" s="39"/>
      <c r="G86" s="39"/>
      <c r="H86" s="39"/>
      <c r="I86" s="39"/>
      <c r="J86" s="39"/>
      <c r="K86" s="39"/>
    </row>
    <row r="87" spans="1:23" ht="12.75" customHeight="1" x14ac:dyDescent="0.25">
      <c r="A87" s="47"/>
      <c r="B87" s="36"/>
      <c r="C87" s="38"/>
      <c r="D87" s="38"/>
      <c r="E87" s="39"/>
      <c r="F87" s="39"/>
      <c r="G87" s="39"/>
      <c r="H87" s="39"/>
      <c r="I87" s="39"/>
      <c r="J87" s="39"/>
      <c r="K87" s="39"/>
    </row>
    <row r="88" spans="1:23" ht="11.25" customHeight="1" x14ac:dyDescent="0.25">
      <c r="A88" s="42"/>
      <c r="B88" s="36"/>
      <c r="C88" s="38"/>
      <c r="D88" s="38"/>
      <c r="E88" s="39"/>
      <c r="F88" s="39"/>
      <c r="G88" s="39"/>
      <c r="H88" s="39"/>
      <c r="I88" s="39"/>
      <c r="J88" s="39"/>
      <c r="K88" s="39"/>
    </row>
    <row r="89" spans="1:23" ht="11.25" customHeight="1" x14ac:dyDescent="0.25">
      <c r="A89" s="49"/>
      <c r="B89" s="40"/>
      <c r="C89" s="73"/>
      <c r="D89" s="73"/>
      <c r="E89" s="98"/>
      <c r="F89" s="73"/>
      <c r="G89" s="73"/>
      <c r="H89" s="73"/>
      <c r="I89" s="73"/>
      <c r="J89" s="73"/>
      <c r="K89" s="73"/>
    </row>
    <row r="90" spans="1:23" ht="11.25" customHeight="1" x14ac:dyDescent="0.25"/>
    <row r="91" spans="1:23" ht="11.25" customHeight="1" x14ac:dyDescent="0.25"/>
    <row r="92" spans="1:23" ht="11.25" customHeight="1" x14ac:dyDescent="0.25"/>
    <row r="93" spans="1:23" ht="11.25" customHeight="1" x14ac:dyDescent="0.25"/>
    <row r="94" spans="1:23" ht="11.25" customHeight="1" x14ac:dyDescent="0.25"/>
    <row r="95" spans="1:23" ht="11.25" customHeight="1" x14ac:dyDescent="0.25"/>
    <row r="96" spans="1:23" ht="11.25" customHeight="1" x14ac:dyDescent="0.25"/>
    <row r="97" ht="11.25" customHeight="1" x14ac:dyDescent="0.25"/>
    <row r="98" ht="11.25" customHeight="1" x14ac:dyDescent="0.25"/>
    <row r="99" ht="11.25" customHeight="1" x14ac:dyDescent="0.25"/>
    <row r="100" ht="11.25" customHeight="1" x14ac:dyDescent="0.25"/>
    <row r="101" ht="11.25" customHeight="1" x14ac:dyDescent="0.25"/>
    <row r="102" ht="11.25" customHeight="1" x14ac:dyDescent="0.25"/>
    <row r="103" ht="11.25" customHeight="1" x14ac:dyDescent="0.25"/>
    <row r="104" ht="11.25" customHeight="1" x14ac:dyDescent="0.25"/>
    <row r="105" ht="11.25" customHeight="1" x14ac:dyDescent="0.25"/>
    <row r="106" ht="11.25" customHeight="1" x14ac:dyDescent="0.25"/>
    <row r="107" ht="11.25" customHeight="1" x14ac:dyDescent="0.25"/>
    <row r="108" ht="11.25" customHeight="1" x14ac:dyDescent="0.25"/>
    <row r="109" ht="11.25" customHeight="1" x14ac:dyDescent="0.25"/>
    <row r="110" ht="11.25" customHeight="1" x14ac:dyDescent="0.25"/>
    <row r="111" ht="11.25" customHeight="1" x14ac:dyDescent="0.25"/>
    <row r="112" ht="11.25" customHeight="1" x14ac:dyDescent="0.25"/>
    <row r="113" ht="11.25" customHeight="1" x14ac:dyDescent="0.25"/>
    <row r="114" ht="11.25" customHeight="1" x14ac:dyDescent="0.25"/>
    <row r="115" ht="11.25" customHeight="1" x14ac:dyDescent="0.25"/>
    <row r="116" ht="11.25" customHeight="1" x14ac:dyDescent="0.25"/>
    <row r="117" ht="11.25" customHeight="1" x14ac:dyDescent="0.25"/>
    <row r="118" ht="11.25" customHeight="1" x14ac:dyDescent="0.25"/>
    <row r="119" ht="11.25" customHeight="1" x14ac:dyDescent="0.25"/>
    <row r="120" ht="11.25" customHeight="1" x14ac:dyDescent="0.25"/>
    <row r="121" ht="11.25" customHeight="1" x14ac:dyDescent="0.25"/>
    <row r="122" ht="11.25" customHeight="1" x14ac:dyDescent="0.25"/>
    <row r="123" ht="11.25" customHeight="1" x14ac:dyDescent="0.25"/>
    <row r="124" ht="11.25" customHeight="1" x14ac:dyDescent="0.25"/>
  </sheetData>
  <sheetProtection sheet="1" objects="1" scenarios="1"/>
  <mergeCells count="11">
    <mergeCell ref="J3:J4"/>
    <mergeCell ref="K3:K4"/>
    <mergeCell ref="E3:E4"/>
    <mergeCell ref="F3:F4"/>
    <mergeCell ref="G3:G4"/>
    <mergeCell ref="H3:H4"/>
    <mergeCell ref="A2:A3"/>
    <mergeCell ref="B2:B3"/>
    <mergeCell ref="C3:C4"/>
    <mergeCell ref="D3:D4"/>
    <mergeCell ref="I3:I4"/>
  </mergeCells>
  <phoneticPr fontId="2" type="noConversion"/>
  <pageMargins left="0.75" right="0.75" top="1" bottom="1" header="0.5" footer="0.5"/>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8">
    <tabColor rgb="FFCCFFCC"/>
    <pageSetUpPr fitToPage="1"/>
  </sheetPr>
  <dimension ref="A1:I111"/>
  <sheetViews>
    <sheetView showGridLines="0" workbookViewId="0">
      <pane xSplit="2" ySplit="4" topLeftCell="C5" activePane="bottomRight" state="frozen"/>
      <selection activeCell="G21" sqref="G21"/>
      <selection pane="topRight" activeCell="G21" sqref="G21"/>
      <selection pane="bottomLeft" activeCell="G21" sqref="G21"/>
      <selection pane="bottomRight" activeCell="A15" sqref="A15:A20"/>
    </sheetView>
  </sheetViews>
  <sheetFormatPr defaultRowHeight="12.75" x14ac:dyDescent="0.25"/>
  <cols>
    <col min="1" max="1" width="35.7109375" style="20" customWidth="1"/>
    <col min="2" max="2" width="3.140625" style="43" customWidth="1"/>
    <col min="3" max="9" width="8.7109375" style="20" customWidth="1"/>
    <col min="10" max="10" width="9.5703125" style="20" customWidth="1"/>
    <col min="11" max="11" width="9.85546875" style="20" customWidth="1"/>
    <col min="12" max="14" width="9.5703125" style="20" customWidth="1"/>
    <col min="15" max="15" width="9.85546875" style="20" customWidth="1"/>
    <col min="16" max="18" width="9.5703125" style="20" customWidth="1"/>
    <col min="19" max="20" width="9.85546875" style="20" customWidth="1"/>
    <col min="21" max="16384" width="9.140625" style="20"/>
  </cols>
  <sheetData>
    <row r="1" spans="1:9" ht="13.5" x14ac:dyDescent="0.25">
      <c r="A1" s="113" t="str">
        <f>_MEB12</f>
        <v>Greater Tzaneen Economic Development Agency (GTEDA) - Supporting Table SD8 Future financial implications of the capital expenditure budget</v>
      </c>
    </row>
    <row r="2" spans="1:9" ht="25.5" x14ac:dyDescent="0.25">
      <c r="A2" s="623" t="str">
        <f>Vdesc</f>
        <v>Vote Description</v>
      </c>
      <c r="B2" s="623" t="str">
        <f>head27</f>
        <v>Ref</v>
      </c>
      <c r="C2" s="133" t="str">
        <f>Head3a</f>
        <v>Medium Term Revenue and Expenditure Framework</v>
      </c>
      <c r="D2" s="131"/>
      <c r="E2" s="204"/>
      <c r="F2" s="629" t="s">
        <v>11</v>
      </c>
      <c r="G2" s="630"/>
      <c r="H2" s="630"/>
      <c r="I2" s="631"/>
    </row>
    <row r="3" spans="1:9" ht="12.75" customHeight="1" x14ac:dyDescent="0.25">
      <c r="A3" s="624"/>
      <c r="B3" s="624"/>
      <c r="C3" s="649" t="str">
        <f>Head9</f>
        <v>Budget Year 2016/17</v>
      </c>
      <c r="D3" s="650" t="str">
        <f>Head10</f>
        <v>Budget Year +1 2017/18</v>
      </c>
      <c r="E3" s="651" t="str">
        <f>Head11</f>
        <v>Budget Year +2 2018/19</v>
      </c>
      <c r="F3" s="649" t="str">
        <f>Head12</f>
        <v>Forecast 2019/20</v>
      </c>
      <c r="G3" s="650" t="str">
        <f>Head13</f>
        <v>Forecast 2020/21</v>
      </c>
      <c r="H3" s="650" t="str">
        <f>Head14</f>
        <v>Forecast 2021/22</v>
      </c>
      <c r="I3" s="653" t="str">
        <f>Head48</f>
        <v>Present value</v>
      </c>
    </row>
    <row r="4" spans="1:9" ht="13.5" customHeight="1" x14ac:dyDescent="0.25">
      <c r="A4" s="161" t="s">
        <v>225</v>
      </c>
      <c r="B4" s="142"/>
      <c r="C4" s="633"/>
      <c r="D4" s="635"/>
      <c r="E4" s="652"/>
      <c r="F4" s="633"/>
      <c r="G4" s="635"/>
      <c r="H4" s="635"/>
      <c r="I4" s="637"/>
    </row>
    <row r="5" spans="1:9" ht="12.75" customHeight="1" x14ac:dyDescent="0.25">
      <c r="A5" s="346" t="s">
        <v>145</v>
      </c>
      <c r="B5" s="115"/>
      <c r="C5" s="28"/>
      <c r="D5" s="27"/>
      <c r="E5" s="63"/>
      <c r="F5" s="28"/>
      <c r="G5" s="27"/>
      <c r="H5" s="27"/>
      <c r="I5" s="106"/>
    </row>
    <row r="6" spans="1:9" ht="12.75" customHeight="1" x14ac:dyDescent="0.25">
      <c r="A6" s="347"/>
      <c r="B6" s="115">
        <v>1</v>
      </c>
      <c r="C6" s="284"/>
      <c r="D6" s="282"/>
      <c r="E6" s="318"/>
      <c r="F6" s="284"/>
      <c r="G6" s="282"/>
      <c r="H6" s="282"/>
      <c r="I6" s="283"/>
    </row>
    <row r="7" spans="1:9" ht="12.75" customHeight="1" x14ac:dyDescent="0.25">
      <c r="A7" s="348"/>
      <c r="B7" s="115"/>
      <c r="C7" s="284"/>
      <c r="D7" s="282"/>
      <c r="E7" s="318"/>
      <c r="F7" s="284"/>
      <c r="G7" s="282"/>
      <c r="H7" s="282"/>
      <c r="I7" s="283"/>
    </row>
    <row r="8" spans="1:9" ht="12.75" customHeight="1" x14ac:dyDescent="0.25">
      <c r="A8" s="348"/>
      <c r="B8" s="115"/>
      <c r="C8" s="284"/>
      <c r="D8" s="282"/>
      <c r="E8" s="318"/>
      <c r="F8" s="284"/>
      <c r="G8" s="282"/>
      <c r="H8" s="282"/>
      <c r="I8" s="283"/>
    </row>
    <row r="9" spans="1:9" ht="12.75" customHeight="1" x14ac:dyDescent="0.25">
      <c r="A9" s="348"/>
      <c r="B9" s="115"/>
      <c r="C9" s="284"/>
      <c r="D9" s="282"/>
      <c r="E9" s="318"/>
      <c r="F9" s="284"/>
      <c r="G9" s="282"/>
      <c r="H9" s="282"/>
      <c r="I9" s="283"/>
    </row>
    <row r="10" spans="1:9" ht="12.75" customHeight="1" x14ac:dyDescent="0.25">
      <c r="A10" s="348"/>
      <c r="B10" s="115"/>
      <c r="C10" s="284"/>
      <c r="D10" s="282"/>
      <c r="E10" s="318"/>
      <c r="F10" s="284"/>
      <c r="G10" s="282"/>
      <c r="H10" s="282"/>
      <c r="I10" s="283"/>
    </row>
    <row r="11" spans="1:9" ht="12.75" customHeight="1" x14ac:dyDescent="0.25">
      <c r="A11" s="348"/>
      <c r="B11" s="115"/>
      <c r="C11" s="284"/>
      <c r="D11" s="282"/>
      <c r="E11" s="318"/>
      <c r="F11" s="284"/>
      <c r="G11" s="282"/>
      <c r="H11" s="282"/>
      <c r="I11" s="283"/>
    </row>
    <row r="12" spans="1:9" ht="12.75" customHeight="1" x14ac:dyDescent="0.25">
      <c r="A12" s="349" t="s">
        <v>170</v>
      </c>
      <c r="B12" s="134"/>
      <c r="C12" s="45">
        <f t="shared" ref="C12:I12" si="0">SUM(C6:C11)</f>
        <v>0</v>
      </c>
      <c r="D12" s="44">
        <f t="shared" si="0"/>
        <v>0</v>
      </c>
      <c r="E12" s="152">
        <f t="shared" si="0"/>
        <v>0</v>
      </c>
      <c r="F12" s="45">
        <f t="shared" si="0"/>
        <v>0</v>
      </c>
      <c r="G12" s="44">
        <f t="shared" si="0"/>
        <v>0</v>
      </c>
      <c r="H12" s="44">
        <f t="shared" si="0"/>
        <v>0</v>
      </c>
      <c r="I12" s="107">
        <f t="shared" si="0"/>
        <v>0</v>
      </c>
    </row>
    <row r="13" spans="1:9" ht="5.0999999999999996" customHeight="1" x14ac:dyDescent="0.25">
      <c r="A13" s="350"/>
      <c r="B13" s="115"/>
      <c r="C13" s="28"/>
      <c r="D13" s="27"/>
      <c r="E13" s="63"/>
      <c r="F13" s="28"/>
      <c r="G13" s="27"/>
      <c r="H13" s="27"/>
      <c r="I13" s="106"/>
    </row>
    <row r="14" spans="1:9" ht="12.75" customHeight="1" x14ac:dyDescent="0.25">
      <c r="A14" s="346" t="s">
        <v>12</v>
      </c>
      <c r="B14" s="115"/>
      <c r="C14" s="28"/>
      <c r="D14" s="27"/>
      <c r="E14" s="63"/>
      <c r="F14" s="28"/>
      <c r="G14" s="27"/>
      <c r="H14" s="27"/>
      <c r="I14" s="106"/>
    </row>
    <row r="15" spans="1:9" ht="12.75" customHeight="1" x14ac:dyDescent="0.25">
      <c r="A15" s="347" t="str">
        <f>[6]Sheet1!$C$81</f>
        <v>Livestock Improvement</v>
      </c>
      <c r="B15" s="116">
        <v>2</v>
      </c>
      <c r="C15" s="284">
        <f>[6]Sheet1!$I$81</f>
        <v>100000</v>
      </c>
      <c r="D15" s="282">
        <f>[6]Sheet1!$K$81</f>
        <v>80000</v>
      </c>
      <c r="E15" s="318">
        <f>[6]Sheet1!$M$81</f>
        <v>88000</v>
      </c>
      <c r="F15" s="284">
        <f>[6]Sheet1!$O$81</f>
        <v>88000</v>
      </c>
      <c r="G15" s="282"/>
      <c r="H15" s="282"/>
      <c r="I15" s="283"/>
    </row>
    <row r="16" spans="1:9" ht="12.75" customHeight="1" x14ac:dyDescent="0.25">
      <c r="A16" s="348" t="str">
        <f>[6]Sheet1!$C$82</f>
        <v>Restitued Farms: Makgoba</v>
      </c>
      <c r="B16" s="116"/>
      <c r="C16" s="284">
        <f>[6]Sheet1!$I$82</f>
        <v>65000</v>
      </c>
      <c r="D16" s="282">
        <f>[6]Sheet1!$K$82</f>
        <v>60000</v>
      </c>
      <c r="E16" s="318">
        <f>[6]Sheet1!$M$82</f>
        <v>66000</v>
      </c>
      <c r="F16" s="284">
        <f>[6]Sheet1!$O$82</f>
        <v>66000</v>
      </c>
      <c r="G16" s="282"/>
      <c r="H16" s="282"/>
      <c r="I16" s="283"/>
    </row>
    <row r="17" spans="1:9" ht="12.75" customHeight="1" x14ac:dyDescent="0.25">
      <c r="A17" s="348" t="str">
        <f>[6]Sheet1!$C$83</f>
        <v>Greater Tzn Tourism Development</v>
      </c>
      <c r="B17" s="116"/>
      <c r="C17" s="284">
        <f>[6]Sheet1!$I$83</f>
        <v>50000</v>
      </c>
      <c r="D17" s="282">
        <f>[6]Sheet1!$K$83</f>
        <v>80000</v>
      </c>
      <c r="E17" s="318">
        <f>[6]Sheet1!$M$83</f>
        <v>88000</v>
      </c>
      <c r="F17" s="284">
        <f>[6]Sheet1!$O$83</f>
        <v>88000</v>
      </c>
      <c r="G17" s="282"/>
      <c r="H17" s="282"/>
      <c r="I17" s="283"/>
    </row>
    <row r="18" spans="1:9" ht="12.75" customHeight="1" x14ac:dyDescent="0.25">
      <c r="A18" s="348" t="str">
        <f>[6]Sheet1!$C$84</f>
        <v>New Shopping Centres</v>
      </c>
      <c r="B18" s="116"/>
      <c r="C18" s="284">
        <f>[6]Sheet1!$I$84</f>
        <v>100000</v>
      </c>
      <c r="D18" s="282">
        <f>[6]Sheet1!$K$84</f>
        <v>100000</v>
      </c>
      <c r="E18" s="318">
        <f>[6]Sheet1!$M$84</f>
        <v>110000</v>
      </c>
      <c r="F18" s="284">
        <f>[6]Sheet1!$O$84</f>
        <v>110000</v>
      </c>
      <c r="G18" s="282"/>
      <c r="H18" s="282"/>
      <c r="I18" s="283"/>
    </row>
    <row r="19" spans="1:9" ht="12.75" customHeight="1" x14ac:dyDescent="0.25">
      <c r="A19" s="348" t="str">
        <f>[6]Sheet1!$C$85</f>
        <v>Business Support Centre</v>
      </c>
      <c r="B19" s="116"/>
      <c r="C19" s="284">
        <f>[6]Sheet1!$I$85</f>
        <v>70000</v>
      </c>
      <c r="D19" s="282">
        <f>[6]Sheet1!$K$85</f>
        <v>80000</v>
      </c>
      <c r="E19" s="318">
        <f>[6]Sheet1!$M$85</f>
        <v>88000</v>
      </c>
      <c r="F19" s="284">
        <f>[6]Sheet1!$O$85</f>
        <v>80000</v>
      </c>
      <c r="G19" s="282"/>
      <c r="H19" s="282"/>
      <c r="I19" s="283"/>
    </row>
    <row r="20" spans="1:9" ht="12.75" customHeight="1" x14ac:dyDescent="0.25">
      <c r="A20" s="348" t="str">
        <f>[6]Sheet1!$C$86</f>
        <v>Community Radio Station</v>
      </c>
      <c r="B20" s="116"/>
      <c r="C20" s="284">
        <f>[6]Sheet1!$I$86</f>
        <v>70000</v>
      </c>
      <c r="D20" s="282">
        <f>[6]Sheet1!$K$86</f>
        <v>50000</v>
      </c>
      <c r="E20" s="318">
        <f>[6]Sheet1!$M$86</f>
        <v>55000</v>
      </c>
      <c r="F20" s="284">
        <f>[6]Sheet1!$O$86</f>
        <v>55000</v>
      </c>
      <c r="G20" s="282"/>
      <c r="H20" s="282"/>
      <c r="I20" s="283"/>
    </row>
    <row r="21" spans="1:9" ht="12.75" customHeight="1" x14ac:dyDescent="0.25">
      <c r="A21" s="348"/>
      <c r="B21" s="116"/>
      <c r="C21" s="284"/>
      <c r="D21" s="282"/>
      <c r="E21" s="318"/>
      <c r="F21" s="284"/>
      <c r="G21" s="282"/>
      <c r="H21" s="282"/>
      <c r="I21" s="283"/>
    </row>
    <row r="22" spans="1:9" ht="12.75" customHeight="1" x14ac:dyDescent="0.25">
      <c r="A22" s="349" t="s">
        <v>15</v>
      </c>
      <c r="B22" s="134"/>
      <c r="C22" s="45">
        <f>SUM(C15:C21)</f>
        <v>455000</v>
      </c>
      <c r="D22" s="44">
        <f t="shared" ref="D22:I22" si="1">SUM(D15:D21)</f>
        <v>450000</v>
      </c>
      <c r="E22" s="152">
        <f t="shared" si="1"/>
        <v>495000</v>
      </c>
      <c r="F22" s="45">
        <f t="shared" si="1"/>
        <v>487000</v>
      </c>
      <c r="G22" s="44">
        <f t="shared" si="1"/>
        <v>0</v>
      </c>
      <c r="H22" s="44">
        <f t="shared" si="1"/>
        <v>0</v>
      </c>
      <c r="I22" s="107">
        <f t="shared" si="1"/>
        <v>0</v>
      </c>
    </row>
    <row r="23" spans="1:9" ht="5.0999999999999996" customHeight="1" x14ac:dyDescent="0.25">
      <c r="A23" s="350"/>
      <c r="B23" s="115"/>
      <c r="C23" s="28"/>
      <c r="D23" s="27"/>
      <c r="E23" s="63"/>
      <c r="F23" s="28"/>
      <c r="G23" s="27"/>
      <c r="H23" s="27"/>
      <c r="I23" s="106"/>
    </row>
    <row r="24" spans="1:9" ht="12.75" customHeight="1" x14ac:dyDescent="0.25">
      <c r="A24" s="346" t="s">
        <v>13</v>
      </c>
      <c r="B24" s="115"/>
      <c r="C24" s="28"/>
      <c r="D24" s="27"/>
      <c r="E24" s="63"/>
      <c r="F24" s="28"/>
      <c r="G24" s="27"/>
      <c r="H24" s="27"/>
      <c r="I24" s="106"/>
    </row>
    <row r="25" spans="1:9" x14ac:dyDescent="0.25">
      <c r="A25" s="588" t="s">
        <v>1021</v>
      </c>
      <c r="B25" s="143">
        <v>3</v>
      </c>
      <c r="C25" s="322">
        <f>[6]Sheet1!$I$12</f>
        <v>3000000</v>
      </c>
      <c r="D25" s="320">
        <f>[6]Sheet1!$K$12</f>
        <v>3000000</v>
      </c>
      <c r="E25" s="321">
        <f>[6]Sheet1!$M$12</f>
        <v>3000000</v>
      </c>
      <c r="F25" s="322">
        <f>[6]Sheet1!$O$12</f>
        <v>3000000</v>
      </c>
      <c r="G25" s="320"/>
      <c r="H25" s="320"/>
      <c r="I25" s="323"/>
    </row>
    <row r="26" spans="1:9" ht="12.75" customHeight="1" x14ac:dyDescent="0.25">
      <c r="A26" s="347" t="s">
        <v>1028</v>
      </c>
      <c r="B26" s="115"/>
      <c r="C26" s="284">
        <f>[6]Sheet1!$I$9</f>
        <v>0</v>
      </c>
      <c r="D26" s="282">
        <f>[6]Sheet1!$K$9</f>
        <v>1000000</v>
      </c>
      <c r="E26" s="318">
        <f>[6]Sheet1!$M$9</f>
        <v>1500000</v>
      </c>
      <c r="F26" s="284">
        <f>[6]Sheet1!$O$9</f>
        <v>2000000</v>
      </c>
      <c r="G26" s="282"/>
      <c r="H26" s="282"/>
      <c r="I26" s="283"/>
    </row>
    <row r="27" spans="1:9" ht="12.75" customHeight="1" x14ac:dyDescent="0.25">
      <c r="A27" s="588" t="s">
        <v>1029</v>
      </c>
      <c r="B27" s="115"/>
      <c r="C27" s="284">
        <v>2500000</v>
      </c>
      <c r="D27" s="284">
        <v>2500000</v>
      </c>
      <c r="E27" s="284">
        <v>2500000</v>
      </c>
      <c r="F27" s="284">
        <v>2500000</v>
      </c>
      <c r="G27" s="282"/>
      <c r="H27" s="282"/>
      <c r="I27" s="283"/>
    </row>
    <row r="28" spans="1:9" ht="12.75" customHeight="1" x14ac:dyDescent="0.25">
      <c r="A28" s="348"/>
      <c r="B28" s="115"/>
      <c r="C28" s="284"/>
      <c r="D28" s="282"/>
      <c r="E28" s="318"/>
      <c r="F28" s="284"/>
      <c r="G28" s="282"/>
      <c r="H28" s="282"/>
      <c r="I28" s="283"/>
    </row>
    <row r="29" spans="1:9" ht="12.75" customHeight="1" x14ac:dyDescent="0.25">
      <c r="A29" s="351"/>
      <c r="B29" s="115"/>
      <c r="C29" s="284"/>
      <c r="D29" s="282"/>
      <c r="E29" s="318"/>
      <c r="F29" s="284"/>
      <c r="G29" s="282"/>
      <c r="H29" s="282"/>
      <c r="I29" s="283"/>
    </row>
    <row r="30" spans="1:9" ht="12.75" customHeight="1" x14ac:dyDescent="0.25">
      <c r="A30" s="348"/>
      <c r="B30" s="115"/>
      <c r="C30" s="284"/>
      <c r="D30" s="282"/>
      <c r="E30" s="318"/>
      <c r="F30" s="284"/>
      <c r="G30" s="282"/>
      <c r="H30" s="282"/>
      <c r="I30" s="283"/>
    </row>
    <row r="31" spans="1:9" ht="12.75" customHeight="1" x14ac:dyDescent="0.25">
      <c r="A31" s="348"/>
      <c r="B31" s="115"/>
      <c r="C31" s="284"/>
      <c r="D31" s="282"/>
      <c r="E31" s="318"/>
      <c r="F31" s="284"/>
      <c r="G31" s="282"/>
      <c r="H31" s="282"/>
      <c r="I31" s="283"/>
    </row>
    <row r="32" spans="1:9" ht="12.75" customHeight="1" x14ac:dyDescent="0.25">
      <c r="A32" s="349" t="s">
        <v>16</v>
      </c>
      <c r="B32" s="134"/>
      <c r="C32" s="45">
        <f>SUM(C25:C31)</f>
        <v>5500000</v>
      </c>
      <c r="D32" s="44">
        <f t="shared" ref="D32:I32" si="2">SUM(D25:D31)</f>
        <v>6500000</v>
      </c>
      <c r="E32" s="152">
        <f t="shared" si="2"/>
        <v>7000000</v>
      </c>
      <c r="F32" s="45">
        <f t="shared" si="2"/>
        <v>7500000</v>
      </c>
      <c r="G32" s="44">
        <f t="shared" si="2"/>
        <v>0</v>
      </c>
      <c r="H32" s="44">
        <f t="shared" si="2"/>
        <v>0</v>
      </c>
      <c r="I32" s="107">
        <f t="shared" si="2"/>
        <v>0</v>
      </c>
    </row>
    <row r="33" spans="1:9" ht="5.0999999999999996" customHeight="1" x14ac:dyDescent="0.25">
      <c r="A33" s="350"/>
      <c r="B33" s="115"/>
      <c r="C33" s="28"/>
      <c r="D33" s="27"/>
      <c r="E33" s="63"/>
      <c r="F33" s="28"/>
      <c r="G33" s="27"/>
      <c r="H33" s="27"/>
      <c r="I33" s="106"/>
    </row>
    <row r="34" spans="1:9" ht="12.75" customHeight="1" x14ac:dyDescent="0.25">
      <c r="A34" s="352" t="s">
        <v>14</v>
      </c>
      <c r="B34" s="136"/>
      <c r="C34" s="34">
        <f>C12+C22-C32</f>
        <v>-5045000</v>
      </c>
      <c r="D34" s="33">
        <f t="shared" ref="D34:I34" si="3">D12+D22-D32</f>
        <v>-6050000</v>
      </c>
      <c r="E34" s="51">
        <f t="shared" si="3"/>
        <v>-6505000</v>
      </c>
      <c r="F34" s="34">
        <f t="shared" si="3"/>
        <v>-7013000</v>
      </c>
      <c r="G34" s="33">
        <f t="shared" si="3"/>
        <v>0</v>
      </c>
      <c r="H34" s="33">
        <f t="shared" si="3"/>
        <v>0</v>
      </c>
      <c r="I34" s="135">
        <f t="shared" si="3"/>
        <v>0</v>
      </c>
    </row>
    <row r="35" spans="1:9" ht="12.75" customHeight="1" x14ac:dyDescent="0.25">
      <c r="A35" s="208" t="str">
        <f>head27a</f>
        <v>References</v>
      </c>
      <c r="B35" s="209"/>
      <c r="C35" s="209"/>
      <c r="D35" s="209"/>
      <c r="E35" s="209"/>
      <c r="F35" s="209"/>
      <c r="G35" s="209"/>
      <c r="H35" s="209"/>
      <c r="I35" s="209"/>
    </row>
    <row r="36" spans="1:9" ht="12.75" customHeight="1" x14ac:dyDescent="0.25">
      <c r="A36" s="209" t="s">
        <v>393</v>
      </c>
      <c r="B36" s="209"/>
      <c r="C36" s="209"/>
      <c r="D36" s="209"/>
      <c r="E36" s="209"/>
      <c r="F36" s="209"/>
      <c r="G36" s="209"/>
      <c r="H36" s="209"/>
      <c r="I36" s="209"/>
    </row>
    <row r="37" spans="1:9" ht="12.75" customHeight="1" x14ac:dyDescent="0.25">
      <c r="A37" s="209" t="s">
        <v>394</v>
      </c>
      <c r="B37" s="209"/>
      <c r="C37" s="209"/>
      <c r="D37" s="209"/>
      <c r="E37" s="209"/>
      <c r="F37" s="209"/>
      <c r="G37" s="209"/>
      <c r="H37" s="209"/>
      <c r="I37" s="209"/>
    </row>
    <row r="38" spans="1:9" ht="12.75" customHeight="1" x14ac:dyDescent="0.25">
      <c r="A38" s="209" t="s">
        <v>395</v>
      </c>
      <c r="B38" s="19"/>
      <c r="C38" s="19"/>
      <c r="D38" s="19"/>
      <c r="E38" s="19"/>
      <c r="F38" s="19"/>
      <c r="G38" s="19"/>
      <c r="H38" s="19"/>
      <c r="I38" s="19"/>
    </row>
    <row r="39" spans="1:9" ht="11.25" customHeight="1" x14ac:dyDescent="0.25">
      <c r="B39" s="20"/>
    </row>
    <row r="40" spans="1:9" x14ac:dyDescent="0.25">
      <c r="A40" s="71"/>
      <c r="B40" s="20"/>
      <c r="C40" s="104"/>
      <c r="D40" s="104"/>
      <c r="E40" s="104"/>
    </row>
    <row r="41" spans="1:9" ht="11.25" customHeight="1" x14ac:dyDescent="0.25">
      <c r="B41" s="20"/>
    </row>
    <row r="42" spans="1:9" ht="11.25" customHeight="1" x14ac:dyDescent="0.25">
      <c r="B42" s="20"/>
    </row>
    <row r="43" spans="1:9" ht="11.25" customHeight="1" x14ac:dyDescent="0.25">
      <c r="B43" s="20"/>
    </row>
    <row r="44" spans="1:9" ht="11.25" customHeight="1" x14ac:dyDescent="0.25">
      <c r="B44" s="20"/>
    </row>
    <row r="45" spans="1:9" ht="11.25" customHeight="1" x14ac:dyDescent="0.25">
      <c r="B45" s="20"/>
    </row>
    <row r="46" spans="1:9" ht="11.25" customHeight="1" x14ac:dyDescent="0.25">
      <c r="B46" s="20"/>
    </row>
    <row r="47" spans="1:9" ht="11.25" customHeight="1" x14ac:dyDescent="0.25">
      <c r="B47" s="20"/>
    </row>
    <row r="48" spans="1:9" ht="11.25" customHeight="1" x14ac:dyDescent="0.25">
      <c r="B48" s="20"/>
    </row>
    <row r="49" spans="2:2" ht="11.25" customHeight="1" x14ac:dyDescent="0.25">
      <c r="B49" s="20"/>
    </row>
    <row r="50" spans="2:2" ht="11.25" customHeight="1" x14ac:dyDescent="0.25">
      <c r="B50" s="20"/>
    </row>
    <row r="51" spans="2:2" ht="11.25" customHeight="1" x14ac:dyDescent="0.25">
      <c r="B51" s="20"/>
    </row>
    <row r="52" spans="2:2" ht="11.25" customHeight="1" x14ac:dyDescent="0.25">
      <c r="B52" s="20"/>
    </row>
    <row r="53" spans="2:2" ht="11.25" customHeight="1" x14ac:dyDescent="0.25">
      <c r="B53" s="20"/>
    </row>
    <row r="54" spans="2:2" ht="11.25" customHeight="1" x14ac:dyDescent="0.25">
      <c r="B54" s="20"/>
    </row>
    <row r="55" spans="2:2" ht="11.25" customHeight="1" x14ac:dyDescent="0.25">
      <c r="B55" s="20"/>
    </row>
    <row r="56" spans="2:2" ht="11.25" customHeight="1" x14ac:dyDescent="0.25">
      <c r="B56" s="20"/>
    </row>
    <row r="57" spans="2:2" ht="11.25" customHeight="1" x14ac:dyDescent="0.25">
      <c r="B57" s="20"/>
    </row>
    <row r="58" spans="2:2" x14ac:dyDescent="0.25">
      <c r="B58" s="20"/>
    </row>
    <row r="59" spans="2:2" ht="11.25" customHeight="1" x14ac:dyDescent="0.25">
      <c r="B59" s="20"/>
    </row>
    <row r="60" spans="2:2" ht="11.25" customHeight="1" x14ac:dyDescent="0.25">
      <c r="B60" s="20"/>
    </row>
    <row r="61" spans="2:2" ht="11.25" customHeight="1" x14ac:dyDescent="0.25">
      <c r="B61" s="20"/>
    </row>
    <row r="62" spans="2:2" ht="11.25" customHeight="1" x14ac:dyDescent="0.25">
      <c r="B62" s="20"/>
    </row>
    <row r="63" spans="2:2" ht="11.25" customHeight="1" x14ac:dyDescent="0.25">
      <c r="B63" s="20"/>
    </row>
    <row r="64" spans="2:2" ht="11.25" customHeight="1" x14ac:dyDescent="0.25">
      <c r="B64" s="20"/>
    </row>
    <row r="65" spans="2:9" ht="6" customHeight="1" x14ac:dyDescent="0.25">
      <c r="B65" s="20"/>
    </row>
    <row r="66" spans="2:9" ht="11.25" customHeight="1" x14ac:dyDescent="0.25">
      <c r="B66" s="20"/>
    </row>
    <row r="67" spans="2:9" ht="11.25" customHeight="1" x14ac:dyDescent="0.25">
      <c r="B67" s="20"/>
    </row>
    <row r="68" spans="2:9" ht="11.25" customHeight="1" x14ac:dyDescent="0.25">
      <c r="B68" s="20"/>
    </row>
    <row r="69" spans="2:9" ht="11.25" customHeight="1" x14ac:dyDescent="0.25">
      <c r="B69" s="20"/>
    </row>
    <row r="70" spans="2:9" ht="11.25" customHeight="1" x14ac:dyDescent="0.25">
      <c r="B70" s="20"/>
    </row>
    <row r="71" spans="2:9" ht="11.25" customHeight="1" x14ac:dyDescent="0.25">
      <c r="B71" s="20"/>
    </row>
    <row r="72" spans="2:9" ht="11.25" customHeight="1" x14ac:dyDescent="0.25">
      <c r="B72" s="20"/>
    </row>
    <row r="73" spans="2:9" ht="11.25" customHeight="1" x14ac:dyDescent="0.25">
      <c r="B73" s="20"/>
    </row>
    <row r="74" spans="2:9" ht="11.25" customHeight="1" x14ac:dyDescent="0.25">
      <c r="B74" s="20"/>
    </row>
    <row r="75" spans="2:9" ht="11.25" customHeight="1" x14ac:dyDescent="0.25">
      <c r="B75" s="20"/>
    </row>
    <row r="76" spans="2:9" ht="11.25" customHeight="1" x14ac:dyDescent="0.25">
      <c r="B76" s="20"/>
      <c r="I76" s="57"/>
    </row>
    <row r="77" spans="2:9" ht="11.25" customHeight="1" x14ac:dyDescent="0.25">
      <c r="B77" s="20"/>
    </row>
    <row r="78" spans="2:9" ht="11.25" customHeight="1" x14ac:dyDescent="0.25">
      <c r="B78" s="20"/>
    </row>
    <row r="79" spans="2:9" ht="11.25" customHeight="1" x14ac:dyDescent="0.25">
      <c r="B79" s="20"/>
    </row>
    <row r="80" spans="2:9" x14ac:dyDescent="0.25">
      <c r="B80" s="20"/>
    </row>
    <row r="81" spans="1:8" x14ac:dyDescent="0.25">
      <c r="B81" s="20"/>
    </row>
    <row r="82" spans="1:8" ht="11.25" customHeight="1" x14ac:dyDescent="0.25">
      <c r="B82" s="20"/>
    </row>
    <row r="83" spans="1:8" x14ac:dyDescent="0.25">
      <c r="B83" s="20"/>
    </row>
    <row r="84" spans="1:8" x14ac:dyDescent="0.25">
      <c r="B84" s="20"/>
    </row>
    <row r="85" spans="1:8" x14ac:dyDescent="0.25">
      <c r="B85" s="20"/>
    </row>
    <row r="86" spans="1:8" x14ac:dyDescent="0.25">
      <c r="B86" s="20"/>
    </row>
    <row r="87" spans="1:8" ht="11.25" customHeight="1" x14ac:dyDescent="0.25">
      <c r="B87" s="20"/>
    </row>
    <row r="88" spans="1:8" s="58" customFormat="1" ht="11.25" customHeight="1" x14ac:dyDescent="0.25">
      <c r="A88" s="20"/>
      <c r="B88" s="20"/>
      <c r="C88" s="20"/>
      <c r="D88" s="20"/>
      <c r="E88" s="20"/>
      <c r="F88" s="20"/>
      <c r="G88" s="20"/>
      <c r="H88" s="20"/>
    </row>
    <row r="89" spans="1:8" ht="11.25" customHeight="1" x14ac:dyDescent="0.25">
      <c r="B89" s="20"/>
    </row>
    <row r="90" spans="1:8" ht="11.25" customHeight="1" x14ac:dyDescent="0.25">
      <c r="B90" s="20"/>
    </row>
    <row r="91" spans="1:8" ht="11.25" customHeight="1" x14ac:dyDescent="0.25">
      <c r="B91" s="20"/>
    </row>
    <row r="92" spans="1:8" ht="11.25" customHeight="1" x14ac:dyDescent="0.25">
      <c r="B92" s="20"/>
    </row>
    <row r="93" spans="1:8" ht="11.25" customHeight="1" x14ac:dyDescent="0.25">
      <c r="B93" s="20"/>
    </row>
    <row r="94" spans="1:8" ht="11.25" customHeight="1" x14ac:dyDescent="0.25">
      <c r="B94" s="20"/>
    </row>
    <row r="95" spans="1:8" ht="11.25" customHeight="1" x14ac:dyDescent="0.25">
      <c r="B95" s="20"/>
    </row>
    <row r="96" spans="1:8" ht="11.25" customHeight="1" x14ac:dyDescent="0.25">
      <c r="B96" s="20"/>
    </row>
    <row r="97" spans="2:2" ht="11.25" customHeight="1" x14ac:dyDescent="0.25">
      <c r="B97" s="20"/>
    </row>
    <row r="98" spans="2:2" ht="11.25" customHeight="1" x14ac:dyDescent="0.25">
      <c r="B98" s="20"/>
    </row>
    <row r="99" spans="2:2" ht="11.25" customHeight="1" x14ac:dyDescent="0.25">
      <c r="B99" s="20"/>
    </row>
    <row r="100" spans="2:2" ht="11.25" customHeight="1" x14ac:dyDescent="0.25">
      <c r="B100" s="20"/>
    </row>
    <row r="101" spans="2:2" ht="11.25" customHeight="1" x14ac:dyDescent="0.25">
      <c r="B101" s="20"/>
    </row>
    <row r="102" spans="2:2" ht="11.25" customHeight="1" x14ac:dyDescent="0.25">
      <c r="B102" s="20"/>
    </row>
    <row r="103" spans="2:2" ht="11.25" customHeight="1" x14ac:dyDescent="0.25">
      <c r="B103" s="20"/>
    </row>
    <row r="104" spans="2:2" ht="11.25" customHeight="1" x14ac:dyDescent="0.25"/>
    <row r="105" spans="2:2" ht="11.25" customHeight="1" x14ac:dyDescent="0.25"/>
    <row r="106" spans="2:2" ht="11.25" customHeight="1" x14ac:dyDescent="0.25"/>
    <row r="107" spans="2:2" ht="11.25" customHeight="1" x14ac:dyDescent="0.25"/>
    <row r="108" spans="2:2" ht="11.25" customHeight="1" x14ac:dyDescent="0.25"/>
    <row r="109" spans="2:2" ht="11.25" customHeight="1" x14ac:dyDescent="0.25"/>
    <row r="110" spans="2:2" ht="11.25" customHeight="1" x14ac:dyDescent="0.25"/>
    <row r="111" spans="2:2" ht="11.25" customHeight="1" x14ac:dyDescent="0.25"/>
  </sheetData>
  <sheetProtection sheet="1" objects="1" scenarios="1"/>
  <mergeCells count="10">
    <mergeCell ref="A2:A3"/>
    <mergeCell ref="B2:B3"/>
    <mergeCell ref="C3:C4"/>
    <mergeCell ref="D3:D4"/>
    <mergeCell ref="F2:I2"/>
    <mergeCell ref="E3:E4"/>
    <mergeCell ref="I3:I4"/>
    <mergeCell ref="F3:F4"/>
    <mergeCell ref="G3:G4"/>
    <mergeCell ref="H3:H4"/>
  </mergeCells>
  <phoneticPr fontId="2" type="noConversion"/>
  <printOptions horizontalCentered="1"/>
  <pageMargins left="0.35433070866141736" right="0.23622047244094491" top="0.77" bottom="0.59" header="0.51181102362204722" footer="0.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1">
    <tabColor indexed="46"/>
  </sheetPr>
  <dimension ref="D2:Y36"/>
  <sheetViews>
    <sheetView showGridLines="0" tabSelected="1" workbookViewId="0">
      <selection activeCell="G21" sqref="G21"/>
    </sheetView>
  </sheetViews>
  <sheetFormatPr defaultRowHeight="12.75" x14ac:dyDescent="0.2"/>
  <cols>
    <col min="23" max="23" width="19.7109375" style="548" customWidth="1"/>
    <col min="24" max="25" width="9.140625" style="548"/>
  </cols>
  <sheetData>
    <row r="2" spans="4:24" x14ac:dyDescent="0.2">
      <c r="D2">
        <v>2020</v>
      </c>
    </row>
    <row r="4" spans="4:24" x14ac:dyDescent="0.2">
      <c r="X4" s="578" t="s">
        <v>666</v>
      </c>
    </row>
    <row r="5" spans="4:24" x14ac:dyDescent="0.2">
      <c r="X5" s="578" t="s">
        <v>667</v>
      </c>
    </row>
    <row r="6" spans="4:24" x14ac:dyDescent="0.2">
      <c r="X6" s="578"/>
    </row>
    <row r="7" spans="4:24" x14ac:dyDescent="0.2">
      <c r="W7" s="556" t="s">
        <v>668</v>
      </c>
      <c r="X7" s="578" t="s">
        <v>669</v>
      </c>
    </row>
    <row r="8" spans="4:24" x14ac:dyDescent="0.2">
      <c r="X8" s="578" t="s">
        <v>670</v>
      </c>
    </row>
    <row r="9" spans="4:24" x14ac:dyDescent="0.2">
      <c r="X9" s="578"/>
    </row>
    <row r="10" spans="4:24" x14ac:dyDescent="0.2">
      <c r="X10" s="578"/>
    </row>
    <row r="11" spans="4:24" x14ac:dyDescent="0.2">
      <c r="X11" s="578"/>
    </row>
    <row r="12" spans="4:24" x14ac:dyDescent="0.2">
      <c r="X12" s="578"/>
    </row>
    <row r="13" spans="4:24" x14ac:dyDescent="0.2">
      <c r="X13" s="578"/>
    </row>
    <row r="14" spans="4:24" x14ac:dyDescent="0.2">
      <c r="X14" s="578"/>
    </row>
    <row r="15" spans="4:24" x14ac:dyDescent="0.2">
      <c r="X15" s="578"/>
    </row>
    <row r="16" spans="4:24" x14ac:dyDescent="0.2">
      <c r="X16" s="578"/>
    </row>
    <row r="17" spans="23:24" x14ac:dyDescent="0.2">
      <c r="W17" s="556" t="s">
        <v>671</v>
      </c>
      <c r="X17" s="578">
        <v>2008</v>
      </c>
    </row>
    <row r="18" spans="23:24" x14ac:dyDescent="0.2">
      <c r="X18" s="578">
        <v>2009</v>
      </c>
    </row>
    <row r="19" spans="23:24" x14ac:dyDescent="0.2">
      <c r="X19" s="578">
        <v>2010</v>
      </c>
    </row>
    <row r="20" spans="23:24" x14ac:dyDescent="0.2">
      <c r="X20" s="578">
        <v>2011</v>
      </c>
    </row>
    <row r="21" spans="23:24" x14ac:dyDescent="0.2">
      <c r="X21" s="578">
        <v>2012</v>
      </c>
    </row>
    <row r="22" spans="23:24" x14ac:dyDescent="0.2">
      <c r="X22" s="578">
        <v>2013</v>
      </c>
    </row>
    <row r="23" spans="23:24" x14ac:dyDescent="0.2">
      <c r="X23" s="578">
        <v>2014</v>
      </c>
    </row>
    <row r="24" spans="23:24" x14ac:dyDescent="0.2">
      <c r="X24" s="578">
        <v>2015</v>
      </c>
    </row>
    <row r="25" spans="23:24" x14ac:dyDescent="0.2">
      <c r="X25" s="578">
        <v>2016</v>
      </c>
    </row>
    <row r="26" spans="23:24" x14ac:dyDescent="0.2">
      <c r="X26" s="578">
        <v>2017</v>
      </c>
    </row>
    <row r="27" spans="23:24" x14ac:dyDescent="0.2">
      <c r="X27" s="578">
        <v>2018</v>
      </c>
    </row>
    <row r="28" spans="23:24" x14ac:dyDescent="0.2">
      <c r="X28" s="578">
        <v>2019</v>
      </c>
    </row>
    <row r="29" spans="23:24" x14ac:dyDescent="0.2">
      <c r="X29" s="578">
        <v>2020</v>
      </c>
    </row>
    <row r="30" spans="23:24" x14ac:dyDescent="0.2">
      <c r="X30" s="578">
        <v>2021</v>
      </c>
    </row>
    <row r="31" spans="23:24" x14ac:dyDescent="0.2">
      <c r="X31" s="578">
        <v>2022</v>
      </c>
    </row>
    <row r="32" spans="23:24" x14ac:dyDescent="0.2">
      <c r="X32" s="578"/>
    </row>
    <row r="33" spans="23:24" x14ac:dyDescent="0.2">
      <c r="W33" s="556" t="s">
        <v>672</v>
      </c>
      <c r="X33" s="578">
        <v>9</v>
      </c>
    </row>
    <row r="34" spans="23:24" x14ac:dyDescent="0.2">
      <c r="W34" s="556" t="s">
        <v>673</v>
      </c>
      <c r="X34" s="579">
        <f>INDEX(X17:X31,X33,1)</f>
        <v>2016</v>
      </c>
    </row>
    <row r="36" spans="23:24" x14ac:dyDescent="0.2">
      <c r="W36" s="556" t="s">
        <v>674</v>
      </c>
      <c r="X36" s="557" t="str">
        <f>MTREF&amp;"/"&amp;RIGHT(MTREF,2)+1</f>
        <v>2016/17</v>
      </c>
    </row>
  </sheetData>
  <sheetProtection sheet="1" objects="1" scenarios="1"/>
  <phoneticPr fontId="2" type="noConversion"/>
  <pageMargins left="0.75" right="0.75" top="1" bottom="1" header="0.5" footer="0.5"/>
  <pageSetup orientation="portrait" horizontalDpi="200" verticalDpi="200" r:id="rId1"/>
  <headerFooter alignWithMargins="0"/>
  <drawing r:id="rId2"/>
  <legacyDrawing r:id="rId3"/>
  <controls>
    <mc:AlternateContent xmlns:mc="http://schemas.openxmlformats.org/markup-compatibility/2006">
      <mc:Choice Requires="x14">
        <control shapeId="5137" r:id="rId4" name="TextBox1">
          <controlPr defaultSize="0" autoLine="0" autoPict="0" linkedCell="entity" r:id="rId5">
            <anchor moveWithCells="1">
              <from>
                <xdr:col>5</xdr:col>
                <xdr:colOff>209550</xdr:colOff>
                <xdr:row>8</xdr:row>
                <xdr:rowOff>0</xdr:rowOff>
              </from>
              <to>
                <xdr:col>11</xdr:col>
                <xdr:colOff>238125</xdr:colOff>
                <xdr:row>9</xdr:row>
                <xdr:rowOff>114300</xdr:rowOff>
              </to>
            </anchor>
          </controlPr>
        </control>
      </mc:Choice>
      <mc:Fallback>
        <control shapeId="5137" r:id="rId4" name="TextBox1"/>
      </mc:Fallback>
    </mc:AlternateContent>
    <mc:AlternateContent xmlns:mc="http://schemas.openxmlformats.org/markup-compatibility/2006">
      <mc:Choice Requires="x14">
        <control shapeId="5142" r:id="rId6" name="TextBox3">
          <controlPr defaultSize="0" autoLine="0" r:id="rId7">
            <anchor moveWithCells="1">
              <from>
                <xdr:col>5</xdr:col>
                <xdr:colOff>200025</xdr:colOff>
                <xdr:row>10</xdr:row>
                <xdr:rowOff>142875</xdr:rowOff>
              </from>
              <to>
                <xdr:col>11</xdr:col>
                <xdr:colOff>238125</xdr:colOff>
                <xdr:row>12</xdr:row>
                <xdr:rowOff>76200</xdr:rowOff>
              </to>
            </anchor>
          </controlPr>
        </control>
      </mc:Choice>
      <mc:Fallback>
        <control shapeId="5142" r:id="rId6" name="TextBox3"/>
      </mc:Fallback>
    </mc:AlternateContent>
    <mc:AlternateContent xmlns:mc="http://schemas.openxmlformats.org/markup-compatibility/2006">
      <mc:Choice Requires="x14">
        <control shapeId="5143" r:id="rId8" name="TextBox4">
          <controlPr defaultSize="0" autoLine="0" r:id="rId9">
            <anchor moveWithCells="1">
              <from>
                <xdr:col>5</xdr:col>
                <xdr:colOff>200025</xdr:colOff>
                <xdr:row>13</xdr:row>
                <xdr:rowOff>57150</xdr:rowOff>
              </from>
              <to>
                <xdr:col>7</xdr:col>
                <xdr:colOff>533400</xdr:colOff>
                <xdr:row>14</xdr:row>
                <xdr:rowOff>152400</xdr:rowOff>
              </to>
            </anchor>
          </controlPr>
        </control>
      </mc:Choice>
      <mc:Fallback>
        <control shapeId="5143" r:id="rId8" name="TextBox4"/>
      </mc:Fallback>
    </mc:AlternateContent>
    <mc:AlternateContent xmlns:mc="http://schemas.openxmlformats.org/markup-compatibility/2006">
      <mc:Choice Requires="x14">
        <control shapeId="5144" r:id="rId10" name="TextBox5">
          <controlPr defaultSize="0" autoLine="0" r:id="rId11">
            <anchor moveWithCells="1">
              <from>
                <xdr:col>5</xdr:col>
                <xdr:colOff>190500</xdr:colOff>
                <xdr:row>15</xdr:row>
                <xdr:rowOff>123825</xdr:rowOff>
              </from>
              <to>
                <xdr:col>11</xdr:col>
                <xdr:colOff>238125</xdr:colOff>
                <xdr:row>17</xdr:row>
                <xdr:rowOff>57150</xdr:rowOff>
              </to>
            </anchor>
          </controlPr>
        </control>
      </mc:Choice>
      <mc:Fallback>
        <control shapeId="5144" r:id="rId10" name="TextBox5"/>
      </mc:Fallback>
    </mc:AlternateContent>
    <mc:AlternateContent xmlns:mc="http://schemas.openxmlformats.org/markup-compatibility/2006">
      <mc:Choice Requires="x14">
        <control shapeId="5145" r:id="rId12" name="TextBox6">
          <controlPr defaultSize="0" autoLine="0" r:id="rId13">
            <anchor moveWithCells="1">
              <from>
                <xdr:col>9</xdr:col>
                <xdr:colOff>57150</xdr:colOff>
                <xdr:row>13</xdr:row>
                <xdr:rowOff>76200</xdr:rowOff>
              </from>
              <to>
                <xdr:col>11</xdr:col>
                <xdr:colOff>238125</xdr:colOff>
                <xdr:row>15</xdr:row>
                <xdr:rowOff>9525</xdr:rowOff>
              </to>
            </anchor>
          </controlPr>
        </control>
      </mc:Choice>
      <mc:Fallback>
        <control shapeId="5145" r:id="rId12" name="TextBox6"/>
      </mc:Fallback>
    </mc:AlternateContent>
    <mc:AlternateContent xmlns:mc="http://schemas.openxmlformats.org/markup-compatibility/2006">
      <mc:Choice Requires="x14">
        <control shapeId="5146" r:id="rId14" name="ToggleReferenceColumns">
          <controlPr defaultSize="0" autoLine="0" r:id="rId15">
            <anchor moveWithCells="1">
              <from>
                <xdr:col>0</xdr:col>
                <xdr:colOff>542925</xdr:colOff>
                <xdr:row>35</xdr:row>
                <xdr:rowOff>0</xdr:rowOff>
              </from>
              <to>
                <xdr:col>4</xdr:col>
                <xdr:colOff>523875</xdr:colOff>
                <xdr:row>36</xdr:row>
                <xdr:rowOff>152400</xdr:rowOff>
              </to>
            </anchor>
          </controlPr>
        </control>
      </mc:Choice>
      <mc:Fallback>
        <control shapeId="5146" r:id="rId14" name="ToggleReferenceColumns"/>
      </mc:Fallback>
    </mc:AlternateContent>
    <mc:AlternateContent xmlns:mc="http://schemas.openxmlformats.org/markup-compatibility/2006">
      <mc:Choice Requires="x14">
        <control shapeId="5147" r:id="rId16" name="TogglePreAuditColums">
          <controlPr defaultSize="0" autoLine="0" r:id="rId17">
            <anchor moveWithCells="1">
              <from>
                <xdr:col>0</xdr:col>
                <xdr:colOff>533400</xdr:colOff>
                <xdr:row>37</xdr:row>
                <xdr:rowOff>142875</xdr:rowOff>
              </from>
              <to>
                <xdr:col>4</xdr:col>
                <xdr:colOff>514350</xdr:colOff>
                <xdr:row>39</xdr:row>
                <xdr:rowOff>142875</xdr:rowOff>
              </to>
            </anchor>
          </controlPr>
        </control>
      </mc:Choice>
      <mc:Fallback>
        <control shapeId="5147" r:id="rId16" name="TogglePreAuditColums"/>
      </mc:Fallback>
    </mc:AlternateContent>
    <mc:AlternateContent xmlns:mc="http://schemas.openxmlformats.org/markup-compatibility/2006">
      <mc:Choice Requires="x14">
        <control shapeId="5148" r:id="rId18" name="ToggleHiddenColumns">
          <controlPr defaultSize="0" autoLine="0" r:id="rId19">
            <anchor moveWithCells="1">
              <from>
                <xdr:col>0</xdr:col>
                <xdr:colOff>533400</xdr:colOff>
                <xdr:row>42</xdr:row>
                <xdr:rowOff>66675</xdr:rowOff>
              </from>
              <to>
                <xdr:col>4</xdr:col>
                <xdr:colOff>514350</xdr:colOff>
                <xdr:row>44</xdr:row>
                <xdr:rowOff>57150</xdr:rowOff>
              </to>
            </anchor>
          </controlPr>
        </control>
      </mc:Choice>
      <mc:Fallback>
        <control shapeId="5148" r:id="rId18" name="ToggleHiddenColumns"/>
      </mc:Fallback>
    </mc:AlternateContent>
    <mc:AlternateContent xmlns:mc="http://schemas.openxmlformats.org/markup-compatibility/2006">
      <mc:Choice Requires="x14">
        <control shapeId="5154" r:id="rId20" name="ToggleButton1">
          <controlPr defaultSize="0" autoLine="0" r:id="rId21">
            <anchor moveWithCells="1">
              <from>
                <xdr:col>6</xdr:col>
                <xdr:colOff>581025</xdr:colOff>
                <xdr:row>35</xdr:row>
                <xdr:rowOff>0</xdr:rowOff>
              </from>
              <to>
                <xdr:col>10</xdr:col>
                <xdr:colOff>561975</xdr:colOff>
                <xdr:row>36</xdr:row>
                <xdr:rowOff>152400</xdr:rowOff>
              </to>
            </anchor>
          </controlPr>
        </control>
      </mc:Choice>
      <mc:Fallback>
        <control shapeId="5154" r:id="rId20" name="ToggleButton1"/>
      </mc:Fallback>
    </mc:AlternateContent>
    <mc:AlternateContent xmlns:mc="http://schemas.openxmlformats.org/markup-compatibility/2006">
      <mc:Choice Requires="x14">
        <control shapeId="5140" r:id="rId22" name="Drop Down 20">
          <controlPr defaultSize="0" autoLine="0" autoPict="0">
            <anchor moveWithCells="1">
              <from>
                <xdr:col>5</xdr:col>
                <xdr:colOff>200025</xdr:colOff>
                <xdr:row>18</xdr:row>
                <xdr:rowOff>152400</xdr:rowOff>
              </from>
              <to>
                <xdr:col>7</xdr:col>
                <xdr:colOff>219075</xdr:colOff>
                <xdr:row>20</xdr:row>
                <xdr:rowOff>85725</xdr:rowOff>
              </to>
            </anchor>
          </controlPr>
        </control>
      </mc:Choice>
    </mc:AlternateContent>
    <mc:AlternateContent xmlns:mc="http://schemas.openxmlformats.org/markup-compatibility/2006">
      <mc:Choice Requires="x14">
        <control shapeId="5156" r:id="rId23" name="Drop Down 36">
          <controlPr defaultSize="0" autoLine="0" autoPict="0">
            <anchor moveWithCells="1">
              <from>
                <xdr:col>5</xdr:col>
                <xdr:colOff>209550</xdr:colOff>
                <xdr:row>5</xdr:row>
                <xdr:rowOff>66675</xdr:rowOff>
              </from>
              <to>
                <xdr:col>11</xdr:col>
                <xdr:colOff>219075</xdr:colOff>
                <xdr:row>6</xdr:row>
                <xdr:rowOff>152400</xdr:rowOff>
              </to>
            </anchor>
          </controlPr>
        </control>
      </mc:Choice>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9">
    <tabColor rgb="FFCCFFCC"/>
    <pageSetUpPr fitToPage="1"/>
  </sheetPr>
  <dimension ref="A1:O119"/>
  <sheetViews>
    <sheetView showGridLines="0" workbookViewId="0">
      <pane xSplit="2" ySplit="4" topLeftCell="C5" activePane="bottomRight" state="frozen"/>
      <selection activeCell="G21" sqref="G21"/>
      <selection pane="topRight" activeCell="G21" sqref="G21"/>
      <selection pane="bottomLeft" activeCell="G21" sqref="G21"/>
      <selection pane="bottomRight" activeCell="J27" sqref="J27"/>
    </sheetView>
  </sheetViews>
  <sheetFormatPr defaultRowHeight="12.75" x14ac:dyDescent="0.25"/>
  <cols>
    <col min="1" max="1" width="25.7109375" style="20" customWidth="1"/>
    <col min="2" max="2" width="3.140625" style="43" customWidth="1"/>
    <col min="3" max="3" width="25.7109375" style="20" customWidth="1"/>
    <col min="4" max="4" width="6.140625" style="20" bestFit="1" customWidth="1"/>
    <col min="5" max="5" width="4.42578125" style="20" customWidth="1"/>
    <col min="6" max="7" width="20.7109375" style="20" customWidth="1"/>
    <col min="8" max="13" width="8.7109375" style="20" customWidth="1"/>
    <col min="14" max="14" width="15.7109375" style="20" customWidth="1"/>
    <col min="15" max="15" width="8.7109375" style="20" customWidth="1"/>
    <col min="16" max="16" width="9.85546875" style="20" customWidth="1"/>
    <col min="17" max="17" width="9.5703125" style="20" customWidth="1"/>
    <col min="18" max="18" width="9.85546875" style="20" customWidth="1"/>
    <col min="19" max="21" width="9.5703125" style="20" customWidth="1"/>
    <col min="22" max="22" width="9.85546875" style="20" customWidth="1"/>
    <col min="23" max="25" width="9.5703125" style="20" customWidth="1"/>
    <col min="26" max="27" width="9.85546875" style="20" customWidth="1"/>
    <col min="28" max="16384" width="9.140625" style="20"/>
  </cols>
  <sheetData>
    <row r="1" spans="1:15" ht="13.5" x14ac:dyDescent="0.25">
      <c r="A1" s="113" t="str">
        <f>_MEB13</f>
        <v>Greater Tzaneen Economic Development Agency (GTEDA) - Supporting Table SD9 Detailed capital budget</v>
      </c>
    </row>
    <row r="2" spans="1:15" ht="38.25" customHeight="1" x14ac:dyDescent="0.25">
      <c r="A2" s="642" t="s">
        <v>230</v>
      </c>
      <c r="B2" s="642" t="str">
        <f>head27</f>
        <v>Ref</v>
      </c>
      <c r="C2" s="654" t="s">
        <v>993</v>
      </c>
      <c r="D2" s="657" t="s">
        <v>195</v>
      </c>
      <c r="E2" s="657" t="s">
        <v>992</v>
      </c>
      <c r="F2" s="658" t="s">
        <v>994</v>
      </c>
      <c r="G2" s="660" t="s">
        <v>995</v>
      </c>
      <c r="H2" s="642" t="s">
        <v>436</v>
      </c>
      <c r="I2" s="629" t="str">
        <f>Head2A</f>
        <v>2015/16</v>
      </c>
      <c r="J2" s="631"/>
      <c r="K2" s="629" t="str">
        <f>Head3a</f>
        <v>Medium Term Revenue and Expenditure Framework</v>
      </c>
      <c r="L2" s="630"/>
      <c r="M2" s="631"/>
      <c r="N2" s="133" t="s">
        <v>197</v>
      </c>
      <c r="O2" s="132"/>
    </row>
    <row r="3" spans="1:15" ht="12.75" customHeight="1" x14ac:dyDescent="0.25">
      <c r="A3" s="643"/>
      <c r="B3" s="643"/>
      <c r="C3" s="649"/>
      <c r="D3" s="650"/>
      <c r="E3" s="650"/>
      <c r="F3" s="659"/>
      <c r="G3" s="653"/>
      <c r="H3" s="643"/>
      <c r="I3" s="649" t="str">
        <f>Head5</f>
        <v>Audited Outcome</v>
      </c>
      <c r="J3" s="655" t="s">
        <v>483</v>
      </c>
      <c r="K3" s="649" t="str">
        <f>Head9</f>
        <v>Budget Year 2016/17</v>
      </c>
      <c r="L3" s="650" t="str">
        <f>Head10</f>
        <v>Budget Year +1 2017/18</v>
      </c>
      <c r="M3" s="655" t="str">
        <f>Head11</f>
        <v>Budget Year +2 2018/19</v>
      </c>
      <c r="N3" s="649" t="s">
        <v>198</v>
      </c>
      <c r="O3" s="653" t="s">
        <v>196</v>
      </c>
    </row>
    <row r="4" spans="1:15" ht="24.75" customHeight="1" x14ac:dyDescent="0.25">
      <c r="A4" s="210" t="s">
        <v>225</v>
      </c>
      <c r="B4" s="211"/>
      <c r="C4" s="633"/>
      <c r="D4" s="635"/>
      <c r="E4" s="635"/>
      <c r="F4" s="628"/>
      <c r="G4" s="637"/>
      <c r="H4" s="661"/>
      <c r="I4" s="633"/>
      <c r="J4" s="656"/>
      <c r="K4" s="633"/>
      <c r="L4" s="635"/>
      <c r="M4" s="656"/>
      <c r="N4" s="633"/>
      <c r="O4" s="637"/>
    </row>
    <row r="5" spans="1:15" ht="12.75" customHeight="1" x14ac:dyDescent="0.25">
      <c r="A5" s="56"/>
      <c r="B5" s="116"/>
      <c r="C5" s="217"/>
      <c r="D5" s="218"/>
      <c r="E5" s="218"/>
      <c r="F5" s="219"/>
      <c r="G5" s="212"/>
      <c r="H5" s="23"/>
      <c r="I5" s="137"/>
      <c r="J5" s="139"/>
      <c r="K5" s="137"/>
      <c r="L5" s="138"/>
      <c r="M5" s="139"/>
      <c r="N5" s="137"/>
      <c r="O5" s="139"/>
    </row>
    <row r="6" spans="1:15" ht="22.5" customHeight="1" x14ac:dyDescent="0.25">
      <c r="A6" s="599" t="s">
        <v>1062</v>
      </c>
      <c r="B6" s="334"/>
      <c r="C6" s="347" t="s">
        <v>1063</v>
      </c>
      <c r="D6" s="325"/>
      <c r="E6" s="325"/>
      <c r="F6" s="326" t="s">
        <v>1064</v>
      </c>
      <c r="G6" s="347" t="s">
        <v>1063</v>
      </c>
      <c r="H6" s="598">
        <v>0</v>
      </c>
      <c r="I6" s="284">
        <v>0</v>
      </c>
      <c r="J6" s="283">
        <v>0</v>
      </c>
      <c r="K6" s="284">
        <f>[5]Sheet1!$K$71</f>
        <v>25000</v>
      </c>
      <c r="L6" s="282">
        <f>[5]Sheet1!$M$71</f>
        <v>27500</v>
      </c>
      <c r="M6" s="283">
        <f>[5]Sheet1!$O$71</f>
        <v>25450.75</v>
      </c>
      <c r="N6" s="324"/>
      <c r="O6" s="328"/>
    </row>
    <row r="7" spans="1:15" ht="12.75" customHeight="1" x14ac:dyDescent="0.25">
      <c r="A7" s="589"/>
      <c r="B7" s="334"/>
      <c r="C7" s="347"/>
      <c r="D7" s="325"/>
      <c r="E7" s="325"/>
      <c r="F7" s="326"/>
      <c r="G7" s="327"/>
      <c r="H7" s="598"/>
      <c r="I7" s="284"/>
      <c r="J7" s="283"/>
      <c r="K7" s="284"/>
      <c r="L7" s="282"/>
      <c r="M7" s="283"/>
      <c r="N7" s="317"/>
      <c r="O7" s="316"/>
    </row>
    <row r="8" spans="1:15" ht="12.75" customHeight="1" x14ac:dyDescent="0.25">
      <c r="A8" s="329"/>
      <c r="B8" s="334"/>
      <c r="C8" s="348"/>
      <c r="D8" s="325"/>
      <c r="E8" s="325"/>
      <c r="F8" s="326"/>
      <c r="G8" s="327"/>
      <c r="H8" s="598"/>
      <c r="I8" s="284"/>
      <c r="J8" s="283"/>
      <c r="K8" s="284"/>
      <c r="L8" s="282"/>
      <c r="M8" s="283"/>
      <c r="N8" s="317"/>
      <c r="O8" s="316"/>
    </row>
    <row r="9" spans="1:15" ht="12.75" customHeight="1" x14ac:dyDescent="0.25">
      <c r="A9" s="314"/>
      <c r="B9" s="334"/>
      <c r="C9" s="348"/>
      <c r="D9" s="330"/>
      <c r="E9" s="330"/>
      <c r="F9" s="315"/>
      <c r="G9" s="316"/>
      <c r="H9" s="598"/>
      <c r="I9" s="284"/>
      <c r="J9" s="283"/>
      <c r="K9" s="284"/>
      <c r="L9" s="282"/>
      <c r="M9" s="283"/>
      <c r="N9" s="317"/>
      <c r="O9" s="316"/>
    </row>
    <row r="10" spans="1:15" ht="12.75" customHeight="1" x14ac:dyDescent="0.25">
      <c r="A10" s="314"/>
      <c r="B10" s="334"/>
      <c r="C10" s="348"/>
      <c r="D10" s="330"/>
      <c r="E10" s="330"/>
      <c r="F10" s="315"/>
      <c r="G10" s="316"/>
      <c r="H10" s="598"/>
      <c r="I10" s="284"/>
      <c r="J10" s="283"/>
      <c r="K10" s="284"/>
      <c r="L10" s="282"/>
      <c r="M10" s="283"/>
      <c r="N10" s="317"/>
      <c r="O10" s="316"/>
    </row>
    <row r="11" spans="1:15" ht="12.75" customHeight="1" x14ac:dyDescent="0.25">
      <c r="A11" s="314"/>
      <c r="B11" s="334"/>
      <c r="C11" s="348"/>
      <c r="D11" s="330"/>
      <c r="E11" s="330"/>
      <c r="F11" s="315"/>
      <c r="G11" s="316"/>
      <c r="H11" s="598"/>
      <c r="I11" s="284"/>
      <c r="J11" s="283"/>
      <c r="K11" s="284"/>
      <c r="L11" s="282"/>
      <c r="M11" s="283"/>
      <c r="N11" s="317"/>
      <c r="O11" s="316"/>
    </row>
    <row r="12" spans="1:15" ht="12.75" customHeight="1" x14ac:dyDescent="0.25">
      <c r="A12" s="331"/>
      <c r="B12" s="334"/>
      <c r="C12" s="317"/>
      <c r="D12" s="330"/>
      <c r="E12" s="330"/>
      <c r="F12" s="315"/>
      <c r="G12" s="316"/>
      <c r="H12" s="598"/>
      <c r="I12" s="284"/>
      <c r="J12" s="283"/>
      <c r="K12" s="284"/>
      <c r="L12" s="282"/>
      <c r="M12" s="283"/>
      <c r="N12" s="317"/>
      <c r="O12" s="316"/>
    </row>
    <row r="13" spans="1:15" ht="12.75" customHeight="1" x14ac:dyDescent="0.25">
      <c r="A13" s="314"/>
      <c r="B13" s="334"/>
      <c r="C13" s="317"/>
      <c r="D13" s="330"/>
      <c r="E13" s="330"/>
      <c r="F13" s="315"/>
      <c r="G13" s="316"/>
      <c r="H13" s="598"/>
      <c r="I13" s="284"/>
      <c r="J13" s="283"/>
      <c r="K13" s="284"/>
      <c r="L13" s="282"/>
      <c r="M13" s="283"/>
      <c r="N13" s="317"/>
      <c r="O13" s="316"/>
    </row>
    <row r="14" spans="1:15" ht="12.75" customHeight="1" x14ac:dyDescent="0.25">
      <c r="A14" s="314"/>
      <c r="B14" s="334"/>
      <c r="C14" s="317"/>
      <c r="D14" s="330"/>
      <c r="E14" s="330"/>
      <c r="F14" s="315"/>
      <c r="G14" s="316"/>
      <c r="H14" s="598"/>
      <c r="I14" s="284"/>
      <c r="J14" s="283"/>
      <c r="K14" s="284"/>
      <c r="L14" s="282"/>
      <c r="M14" s="283"/>
      <c r="N14" s="317"/>
      <c r="O14" s="316"/>
    </row>
    <row r="15" spans="1:15" ht="12.75" customHeight="1" x14ac:dyDescent="0.25">
      <c r="A15" s="314"/>
      <c r="B15" s="334"/>
      <c r="C15" s="317"/>
      <c r="D15" s="330"/>
      <c r="E15" s="330"/>
      <c r="F15" s="315"/>
      <c r="G15" s="316"/>
      <c r="H15" s="598"/>
      <c r="I15" s="284"/>
      <c r="J15" s="283"/>
      <c r="K15" s="284"/>
      <c r="L15" s="282"/>
      <c r="M15" s="283"/>
      <c r="N15" s="317"/>
      <c r="O15" s="316"/>
    </row>
    <row r="16" spans="1:15" ht="12.75" customHeight="1" x14ac:dyDescent="0.25">
      <c r="A16" s="314"/>
      <c r="B16" s="334"/>
      <c r="C16" s="317"/>
      <c r="D16" s="330"/>
      <c r="E16" s="330"/>
      <c r="F16" s="315"/>
      <c r="G16" s="316"/>
      <c r="H16" s="598"/>
      <c r="I16" s="284"/>
      <c r="J16" s="283"/>
      <c r="K16" s="284"/>
      <c r="L16" s="282"/>
      <c r="M16" s="283"/>
      <c r="N16" s="317"/>
      <c r="O16" s="316"/>
    </row>
    <row r="17" spans="1:15" ht="12.75" customHeight="1" x14ac:dyDescent="0.25">
      <c r="A17" s="331"/>
      <c r="B17" s="334"/>
      <c r="C17" s="317"/>
      <c r="D17" s="330"/>
      <c r="E17" s="330"/>
      <c r="F17" s="315"/>
      <c r="G17" s="316"/>
      <c r="H17" s="598"/>
      <c r="I17" s="284"/>
      <c r="J17" s="283"/>
      <c r="K17" s="284"/>
      <c r="L17" s="282"/>
      <c r="M17" s="283"/>
      <c r="N17" s="317"/>
      <c r="O17" s="316"/>
    </row>
    <row r="18" spans="1:15" ht="12.75" customHeight="1" x14ac:dyDescent="0.25">
      <c r="A18" s="314"/>
      <c r="B18" s="334"/>
      <c r="C18" s="317"/>
      <c r="D18" s="330"/>
      <c r="E18" s="330"/>
      <c r="F18" s="315"/>
      <c r="G18" s="316"/>
      <c r="H18" s="598"/>
      <c r="I18" s="284"/>
      <c r="J18" s="283"/>
      <c r="K18" s="284"/>
      <c r="L18" s="282"/>
      <c r="M18" s="283"/>
      <c r="N18" s="317"/>
      <c r="O18" s="316"/>
    </row>
    <row r="19" spans="1:15" ht="12.75" customHeight="1" x14ac:dyDescent="0.25">
      <c r="A19" s="314"/>
      <c r="B19" s="334"/>
      <c r="C19" s="317"/>
      <c r="D19" s="330"/>
      <c r="E19" s="330"/>
      <c r="F19" s="315"/>
      <c r="G19" s="316"/>
      <c r="H19" s="598"/>
      <c r="I19" s="284"/>
      <c r="J19" s="283"/>
      <c r="K19" s="284"/>
      <c r="L19" s="282"/>
      <c r="M19" s="283"/>
      <c r="N19" s="317"/>
      <c r="O19" s="316"/>
    </row>
    <row r="20" spans="1:15" ht="12.75" customHeight="1" x14ac:dyDescent="0.25">
      <c r="A20" s="331"/>
      <c r="B20" s="334"/>
      <c r="C20" s="317"/>
      <c r="D20" s="330"/>
      <c r="E20" s="330"/>
      <c r="F20" s="315"/>
      <c r="G20" s="316"/>
      <c r="H20" s="598"/>
      <c r="I20" s="284"/>
      <c r="J20" s="283"/>
      <c r="K20" s="284"/>
      <c r="L20" s="282"/>
      <c r="M20" s="283"/>
      <c r="N20" s="317"/>
      <c r="O20" s="316"/>
    </row>
    <row r="21" spans="1:15" ht="12.75" customHeight="1" x14ac:dyDescent="0.25">
      <c r="A21" s="314"/>
      <c r="B21" s="334"/>
      <c r="C21" s="317"/>
      <c r="D21" s="330"/>
      <c r="E21" s="330"/>
      <c r="F21" s="315"/>
      <c r="G21" s="316"/>
      <c r="H21" s="598"/>
      <c r="I21" s="284"/>
      <c r="J21" s="283"/>
      <c r="K21" s="284"/>
      <c r="L21" s="282"/>
      <c r="M21" s="283"/>
      <c r="N21" s="317"/>
      <c r="O21" s="316"/>
    </row>
    <row r="22" spans="1:15" ht="12.75" customHeight="1" x14ac:dyDescent="0.25">
      <c r="A22" s="314"/>
      <c r="B22" s="334"/>
      <c r="C22" s="317"/>
      <c r="D22" s="330"/>
      <c r="E22" s="330"/>
      <c r="F22" s="315"/>
      <c r="G22" s="316"/>
      <c r="H22" s="598"/>
      <c r="I22" s="284"/>
      <c r="J22" s="283"/>
      <c r="K22" s="284"/>
      <c r="L22" s="282"/>
      <c r="M22" s="283"/>
      <c r="N22" s="317"/>
      <c r="O22" s="316"/>
    </row>
    <row r="23" spans="1:15" ht="12.75" customHeight="1" x14ac:dyDescent="0.25">
      <c r="A23" s="314"/>
      <c r="B23" s="334"/>
      <c r="C23" s="317"/>
      <c r="D23" s="315"/>
      <c r="E23" s="315"/>
      <c r="F23" s="315"/>
      <c r="G23" s="316"/>
      <c r="H23" s="598"/>
      <c r="I23" s="284"/>
      <c r="J23" s="283"/>
      <c r="K23" s="284"/>
      <c r="L23" s="282"/>
      <c r="M23" s="283"/>
      <c r="N23" s="317"/>
      <c r="O23" s="316"/>
    </row>
    <row r="24" spans="1:15" ht="12.75" customHeight="1" x14ac:dyDescent="0.25">
      <c r="A24" s="32" t="s">
        <v>129</v>
      </c>
      <c r="B24" s="136">
        <v>1</v>
      </c>
      <c r="C24" s="600">
        <f>SUM(C7:C23)</f>
        <v>0</v>
      </c>
      <c r="D24" s="601"/>
      <c r="E24" s="601"/>
      <c r="F24" s="601"/>
      <c r="G24" s="602"/>
      <c r="H24" s="609">
        <f t="shared" ref="H24:M24" si="0">SUM(H6:H23)</f>
        <v>0</v>
      </c>
      <c r="I24" s="269">
        <f t="shared" si="0"/>
        <v>0</v>
      </c>
      <c r="J24" s="268">
        <f t="shared" si="0"/>
        <v>0</v>
      </c>
      <c r="K24" s="269">
        <f t="shared" si="0"/>
        <v>25000</v>
      </c>
      <c r="L24" s="267">
        <f t="shared" si="0"/>
        <v>27500</v>
      </c>
      <c r="M24" s="268">
        <f t="shared" si="0"/>
        <v>25450.75</v>
      </c>
      <c r="N24" s="600">
        <f>SUM(N7:N23)</f>
        <v>0</v>
      </c>
      <c r="O24" s="602">
        <f>SUM(O7:O23)</f>
        <v>0</v>
      </c>
    </row>
    <row r="25" spans="1:15" ht="12.75" customHeight="1" x14ac:dyDescent="0.25">
      <c r="A25" s="74" t="str">
        <f>head27a</f>
        <v>References</v>
      </c>
      <c r="B25" s="42"/>
      <c r="C25" s="42"/>
      <c r="D25" s="42"/>
      <c r="E25" s="42"/>
      <c r="F25" s="42"/>
      <c r="G25" s="42"/>
      <c r="H25" s="42"/>
      <c r="I25" s="42"/>
      <c r="J25" s="42"/>
      <c r="K25" s="42"/>
      <c r="L25" s="42"/>
      <c r="M25" s="42"/>
      <c r="N25" s="42"/>
      <c r="O25" s="42"/>
    </row>
    <row r="26" spans="1:15" ht="12.75" customHeight="1" x14ac:dyDescent="0.25">
      <c r="A26" s="47" t="s">
        <v>481</v>
      </c>
      <c r="B26" s="42"/>
      <c r="C26" s="42"/>
      <c r="D26" s="42"/>
      <c r="E26" s="42"/>
      <c r="F26" s="42"/>
      <c r="G26" s="42"/>
      <c r="H26" s="42"/>
      <c r="I26" s="42"/>
      <c r="J26" s="42"/>
      <c r="K26" s="42"/>
      <c r="L26" s="42"/>
      <c r="M26" s="42"/>
      <c r="N26" s="42"/>
      <c r="O26" s="42"/>
    </row>
    <row r="27" spans="1:15" ht="12.75" customHeight="1" x14ac:dyDescent="0.25">
      <c r="A27" s="47" t="s">
        <v>482</v>
      </c>
      <c r="B27" s="42"/>
      <c r="C27" s="42"/>
      <c r="D27" s="42"/>
      <c r="E27" s="42"/>
      <c r="F27" s="42"/>
      <c r="G27" s="42"/>
      <c r="H27" s="42"/>
      <c r="I27" s="42"/>
      <c r="J27" s="42"/>
      <c r="K27" s="42"/>
      <c r="L27" s="42"/>
      <c r="M27" s="42"/>
      <c r="N27" s="42"/>
      <c r="O27" s="42"/>
    </row>
    <row r="28" spans="1:15" ht="12.75" customHeight="1" x14ac:dyDescent="0.25">
      <c r="A28" s="47" t="s">
        <v>272</v>
      </c>
      <c r="B28" s="42"/>
      <c r="C28" s="42"/>
      <c r="D28" s="42"/>
      <c r="E28" s="42"/>
      <c r="F28" s="42"/>
      <c r="G28" s="42"/>
      <c r="H28" s="42"/>
      <c r="I28" s="42"/>
      <c r="J28" s="42"/>
      <c r="K28" s="42"/>
      <c r="L28" s="42"/>
      <c r="M28" s="42"/>
      <c r="N28" s="42"/>
      <c r="O28" s="42"/>
    </row>
    <row r="29" spans="1:15" ht="11.25" customHeight="1" x14ac:dyDescent="0.25">
      <c r="B29" s="20"/>
    </row>
    <row r="30" spans="1:15" x14ac:dyDescent="0.25">
      <c r="B30" s="20"/>
    </row>
    <row r="31" spans="1:15" ht="11.25" customHeight="1" x14ac:dyDescent="0.25">
      <c r="B31" s="20"/>
    </row>
    <row r="32" spans="1:15" ht="11.25" customHeight="1" x14ac:dyDescent="0.25">
      <c r="B32" s="20"/>
    </row>
    <row r="33" spans="2:2" ht="11.25" customHeight="1" x14ac:dyDescent="0.25">
      <c r="B33" s="20"/>
    </row>
    <row r="34" spans="2:2" ht="11.25" customHeight="1" x14ac:dyDescent="0.25">
      <c r="B34" s="20"/>
    </row>
    <row r="35" spans="2:2" ht="11.25" customHeight="1" x14ac:dyDescent="0.25">
      <c r="B35" s="20"/>
    </row>
    <row r="36" spans="2:2" ht="11.25" customHeight="1" x14ac:dyDescent="0.25">
      <c r="B36" s="20"/>
    </row>
    <row r="37" spans="2:2" ht="11.25" customHeight="1" x14ac:dyDescent="0.25">
      <c r="B37" s="20"/>
    </row>
    <row r="38" spans="2:2" ht="11.25" customHeight="1" x14ac:dyDescent="0.25">
      <c r="B38" s="20"/>
    </row>
    <row r="39" spans="2:2" ht="11.25" customHeight="1" x14ac:dyDescent="0.25">
      <c r="B39" s="20"/>
    </row>
    <row r="40" spans="2:2" ht="11.25" customHeight="1" x14ac:dyDescent="0.25">
      <c r="B40" s="20"/>
    </row>
    <row r="41" spans="2:2" ht="11.25" customHeight="1" x14ac:dyDescent="0.25">
      <c r="B41" s="20"/>
    </row>
    <row r="42" spans="2:2" ht="11.25" customHeight="1" x14ac:dyDescent="0.25">
      <c r="B42" s="20"/>
    </row>
    <row r="43" spans="2:2" ht="11.25" customHeight="1" x14ac:dyDescent="0.25">
      <c r="B43" s="20"/>
    </row>
    <row r="44" spans="2:2" ht="11.25" customHeight="1" x14ac:dyDescent="0.25">
      <c r="B44" s="20"/>
    </row>
    <row r="45" spans="2:2" ht="11.25" customHeight="1" x14ac:dyDescent="0.25">
      <c r="B45" s="20"/>
    </row>
    <row r="46" spans="2:2" ht="11.25" customHeight="1" x14ac:dyDescent="0.25">
      <c r="B46" s="20"/>
    </row>
    <row r="47" spans="2:2" ht="11.25" customHeight="1" x14ac:dyDescent="0.25">
      <c r="B47" s="20"/>
    </row>
    <row r="48" spans="2:2" ht="11.25" customHeight="1" x14ac:dyDescent="0.25">
      <c r="B48" s="20"/>
    </row>
    <row r="49" spans="2:2" ht="11.25" customHeight="1" x14ac:dyDescent="0.25">
      <c r="B49" s="20"/>
    </row>
    <row r="50" spans="2:2" ht="11.25" customHeight="1" x14ac:dyDescent="0.25">
      <c r="B50" s="20"/>
    </row>
    <row r="51" spans="2:2" ht="11.25" customHeight="1" x14ac:dyDescent="0.25">
      <c r="B51" s="20"/>
    </row>
    <row r="52" spans="2:2" ht="11.25" customHeight="1" x14ac:dyDescent="0.25">
      <c r="B52" s="20"/>
    </row>
    <row r="53" spans="2:2" ht="11.25" customHeight="1" x14ac:dyDescent="0.25">
      <c r="B53" s="20"/>
    </row>
    <row r="54" spans="2:2" x14ac:dyDescent="0.25">
      <c r="B54" s="20"/>
    </row>
    <row r="55" spans="2:2" x14ac:dyDescent="0.25">
      <c r="B55" s="20"/>
    </row>
    <row r="56" spans="2:2" ht="11.25" customHeight="1" x14ac:dyDescent="0.25">
      <c r="B56" s="20"/>
    </row>
    <row r="57" spans="2:2" ht="22.5" customHeight="1" x14ac:dyDescent="0.25">
      <c r="B57" s="20"/>
    </row>
    <row r="58" spans="2:2" x14ac:dyDescent="0.25">
      <c r="B58" s="20"/>
    </row>
    <row r="59" spans="2:2" x14ac:dyDescent="0.25">
      <c r="B59" s="20"/>
    </row>
    <row r="60" spans="2:2" ht="11.25" customHeight="1" x14ac:dyDescent="0.25">
      <c r="B60" s="20"/>
    </row>
    <row r="61" spans="2:2" ht="11.25" customHeight="1" x14ac:dyDescent="0.25">
      <c r="B61" s="20"/>
    </row>
    <row r="62" spans="2:2" ht="11.25" customHeight="1" x14ac:dyDescent="0.25">
      <c r="B62" s="20"/>
    </row>
    <row r="63" spans="2:2" ht="11.25" customHeight="1" x14ac:dyDescent="0.25">
      <c r="B63" s="20"/>
    </row>
    <row r="64" spans="2:2" ht="11.25" customHeight="1" x14ac:dyDescent="0.25">
      <c r="B64" s="20"/>
    </row>
    <row r="65" spans="2:2" ht="11.25" customHeight="1" x14ac:dyDescent="0.25">
      <c r="B65" s="20"/>
    </row>
    <row r="66" spans="2:2" ht="11.25" customHeight="1" x14ac:dyDescent="0.25">
      <c r="B66" s="20"/>
    </row>
    <row r="67" spans="2:2" ht="11.25" customHeight="1" x14ac:dyDescent="0.25">
      <c r="B67" s="20"/>
    </row>
    <row r="68" spans="2:2" ht="11.25" customHeight="1" x14ac:dyDescent="0.25">
      <c r="B68" s="20"/>
    </row>
    <row r="69" spans="2:2" ht="11.25" customHeight="1" x14ac:dyDescent="0.25">
      <c r="B69" s="20"/>
    </row>
    <row r="70" spans="2:2" ht="11.25" customHeight="1" x14ac:dyDescent="0.25">
      <c r="B70" s="20"/>
    </row>
    <row r="71" spans="2:2" ht="11.25" customHeight="1" x14ac:dyDescent="0.25">
      <c r="B71" s="20"/>
    </row>
    <row r="72" spans="2:2" ht="11.25" customHeight="1" x14ac:dyDescent="0.25">
      <c r="B72" s="20"/>
    </row>
    <row r="73" spans="2:2" ht="11.25" customHeight="1" x14ac:dyDescent="0.25">
      <c r="B73" s="20"/>
    </row>
    <row r="74" spans="2:2" ht="11.25" customHeight="1" x14ac:dyDescent="0.25">
      <c r="B74" s="20"/>
    </row>
    <row r="75" spans="2:2" ht="11.25" customHeight="1" x14ac:dyDescent="0.25">
      <c r="B75" s="20"/>
    </row>
    <row r="76" spans="2:2" ht="11.25" customHeight="1" x14ac:dyDescent="0.25">
      <c r="B76" s="20"/>
    </row>
    <row r="77" spans="2:2" ht="11.25" customHeight="1" x14ac:dyDescent="0.25">
      <c r="B77" s="20"/>
    </row>
    <row r="78" spans="2:2" ht="11.25" customHeight="1" x14ac:dyDescent="0.25">
      <c r="B78" s="20"/>
    </row>
    <row r="79" spans="2:2" ht="11.25" customHeight="1" x14ac:dyDescent="0.25">
      <c r="B79" s="20"/>
    </row>
    <row r="80" spans="2:2" ht="11.25" customHeight="1" x14ac:dyDescent="0.25">
      <c r="B80" s="20"/>
    </row>
    <row r="81" spans="2:2" ht="11.25" customHeight="1" x14ac:dyDescent="0.25">
      <c r="B81" s="20"/>
    </row>
    <row r="82" spans="2:2" ht="11.25" customHeight="1" x14ac:dyDescent="0.25">
      <c r="B82" s="20"/>
    </row>
    <row r="83" spans="2:2" ht="11.25" customHeight="1" x14ac:dyDescent="0.25">
      <c r="B83" s="20"/>
    </row>
    <row r="84" spans="2:2" ht="11.25" customHeight="1" x14ac:dyDescent="0.25">
      <c r="B84" s="20"/>
    </row>
    <row r="85" spans="2:2" ht="11.25" customHeight="1" x14ac:dyDescent="0.25">
      <c r="B85" s="20"/>
    </row>
    <row r="86" spans="2:2" ht="11.25" customHeight="1" x14ac:dyDescent="0.25">
      <c r="B86" s="20"/>
    </row>
    <row r="87" spans="2:2" ht="11.25" customHeight="1" x14ac:dyDescent="0.25">
      <c r="B87" s="20"/>
    </row>
    <row r="88" spans="2:2" ht="11.25" customHeight="1" x14ac:dyDescent="0.25">
      <c r="B88" s="20"/>
    </row>
    <row r="89" spans="2:2" ht="11.25" customHeight="1" x14ac:dyDescent="0.25">
      <c r="B89" s="20"/>
    </row>
    <row r="90" spans="2:2" ht="11.25" customHeight="1" x14ac:dyDescent="0.25">
      <c r="B90" s="20"/>
    </row>
    <row r="91" spans="2:2" ht="11.25" customHeight="1" x14ac:dyDescent="0.25">
      <c r="B91" s="20"/>
    </row>
    <row r="92" spans="2:2" ht="11.25" customHeight="1" x14ac:dyDescent="0.25">
      <c r="B92" s="20"/>
    </row>
    <row r="93" spans="2:2" ht="11.25" customHeight="1" x14ac:dyDescent="0.25">
      <c r="B93" s="20"/>
    </row>
    <row r="94" spans="2:2" ht="11.25" customHeight="1" x14ac:dyDescent="0.25">
      <c r="B94" s="20"/>
    </row>
    <row r="95" spans="2:2" ht="11.25" customHeight="1" x14ac:dyDescent="0.25">
      <c r="B95" s="20"/>
    </row>
    <row r="96" spans="2:2" ht="11.25" customHeight="1" x14ac:dyDescent="0.25">
      <c r="B96" s="20"/>
    </row>
    <row r="97" spans="2:2" x14ac:dyDescent="0.25">
      <c r="B97" s="20"/>
    </row>
    <row r="98" spans="2:2" x14ac:dyDescent="0.25">
      <c r="B98" s="20"/>
    </row>
    <row r="99" spans="2:2" x14ac:dyDescent="0.25">
      <c r="B99" s="20"/>
    </row>
    <row r="100" spans="2:2" x14ac:dyDescent="0.25">
      <c r="B100" s="20"/>
    </row>
    <row r="101" spans="2:2" x14ac:dyDescent="0.25">
      <c r="B101" s="20"/>
    </row>
    <row r="102" spans="2:2" x14ac:dyDescent="0.25">
      <c r="B102" s="20"/>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20"/>
    </row>
    <row r="114" spans="2:2" x14ac:dyDescent="0.25">
      <c r="B114" s="20"/>
    </row>
    <row r="115" spans="2:2" x14ac:dyDescent="0.25">
      <c r="B115" s="20"/>
    </row>
    <row r="116" spans="2:2" x14ac:dyDescent="0.25">
      <c r="B116" s="20"/>
    </row>
    <row r="117" spans="2:2" x14ac:dyDescent="0.25">
      <c r="B117" s="20"/>
    </row>
    <row r="118" spans="2:2" x14ac:dyDescent="0.25">
      <c r="B118" s="20"/>
    </row>
    <row r="119" spans="2:2" x14ac:dyDescent="0.25">
      <c r="B119" s="20"/>
    </row>
  </sheetData>
  <sheetProtection sheet="1" objects="1" scenarios="1"/>
  <mergeCells count="17">
    <mergeCell ref="N3:N4"/>
    <mergeCell ref="O3:O4"/>
    <mergeCell ref="D2:D4"/>
    <mergeCell ref="I3:I4"/>
    <mergeCell ref="J3:J4"/>
    <mergeCell ref="K3:K4"/>
    <mergeCell ref="F2:F4"/>
    <mergeCell ref="G2:G4"/>
    <mergeCell ref="H2:H4"/>
    <mergeCell ref="K2:M2"/>
    <mergeCell ref="C2:C4"/>
    <mergeCell ref="A2:A3"/>
    <mergeCell ref="L3:L4"/>
    <mergeCell ref="M3:M4"/>
    <mergeCell ref="B2:B3"/>
    <mergeCell ref="I2:J2"/>
    <mergeCell ref="E2:E4"/>
  </mergeCells>
  <phoneticPr fontId="2" type="noConversion"/>
  <printOptions horizontalCentered="1"/>
  <pageMargins left="0.35433070866141736" right="0.2" top="0.8" bottom="0.57999999999999996" header="0.51181102362204722" footer="0.4"/>
  <pageSetup paperSize="9" scale="7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6">
    <tabColor rgb="FFCCFFCC"/>
    <pageSetUpPr fitToPage="1"/>
  </sheetPr>
  <dimension ref="A1:IV62"/>
  <sheetViews>
    <sheetView showGridLines="0" workbookViewId="0">
      <pane xSplit="2" ySplit="4" topLeftCell="F5" activePane="bottomRight" state="frozen"/>
      <selection activeCell="G21" sqref="G21"/>
      <selection pane="topRight" activeCell="G21" sqref="G21"/>
      <selection pane="bottomLeft" activeCell="G21" sqref="G21"/>
      <selection pane="bottomRight" activeCell="V3" sqref="V3:V4"/>
    </sheetView>
  </sheetViews>
  <sheetFormatPr defaultRowHeight="12.75" x14ac:dyDescent="0.25"/>
  <cols>
    <col min="1" max="1" width="35.7109375" style="20" customWidth="1"/>
    <col min="2" max="2" width="3.140625" style="43" customWidth="1"/>
    <col min="3" max="15" width="8.7109375" style="20" customWidth="1"/>
    <col min="16" max="17" width="9.5703125" style="20" customWidth="1"/>
    <col min="18" max="19" width="9.85546875" style="20" customWidth="1"/>
    <col min="20" max="16384" width="9.140625" style="20"/>
  </cols>
  <sheetData>
    <row r="1" spans="1:256" ht="13.5" x14ac:dyDescent="0.25">
      <c r="A1" s="113" t="str">
        <f>_MEB10</f>
        <v>Greater Tzaneen Economic Development Agency (GTEDA) - Supporting Table SD10 Long term contracts</v>
      </c>
      <c r="D1" s="43"/>
    </row>
    <row r="2" spans="1:256" ht="38.25" x14ac:dyDescent="0.25">
      <c r="A2" s="621" t="str">
        <f>desc</f>
        <v>Description</v>
      </c>
      <c r="B2" s="623" t="str">
        <f>head27</f>
        <v>Ref</v>
      </c>
      <c r="C2" s="133" t="s">
        <v>132</v>
      </c>
      <c r="D2" s="204" t="str">
        <f>Head2</f>
        <v>Current Year 2015/16</v>
      </c>
      <c r="E2" s="629" t="str">
        <f>Head3a</f>
        <v>Medium Term Revenue and Expenditure Framework</v>
      </c>
      <c r="F2" s="630"/>
      <c r="G2" s="631"/>
      <c r="H2" s="141" t="str">
        <f>Head12</f>
        <v>Forecast 2019/20</v>
      </c>
      <c r="I2" s="131" t="str">
        <f>Head13</f>
        <v>Forecast 2020/21</v>
      </c>
      <c r="J2" s="131" t="str">
        <f>Head14</f>
        <v>Forecast 2021/22</v>
      </c>
      <c r="K2" s="131" t="str">
        <f>Head15</f>
        <v>Forecast 2022/23</v>
      </c>
      <c r="L2" s="131" t="str">
        <f>Head16</f>
        <v>Forecast 2023/24</v>
      </c>
      <c r="M2" s="131" t="str">
        <f>Head17</f>
        <v>Forecast 2024/25</v>
      </c>
      <c r="N2" s="204" t="str">
        <f>Head18</f>
        <v>Forecast 2025/26</v>
      </c>
      <c r="O2" s="101" t="s">
        <v>92</v>
      </c>
    </row>
    <row r="3" spans="1:256" x14ac:dyDescent="0.25">
      <c r="A3" s="622"/>
      <c r="B3" s="624"/>
      <c r="C3" s="625" t="s">
        <v>234</v>
      </c>
      <c r="D3" s="664" t="str">
        <f>Head6</f>
        <v>Original Budget</v>
      </c>
      <c r="E3" s="625" t="str">
        <f>Head9</f>
        <v>Budget Year 2016/17</v>
      </c>
      <c r="F3" s="627" t="str">
        <f>Head10</f>
        <v>Budget Year +1 2017/18</v>
      </c>
      <c r="G3" s="636" t="str">
        <f>Head11</f>
        <v>Budget Year +2 2018/19</v>
      </c>
      <c r="H3" s="662" t="s">
        <v>136</v>
      </c>
      <c r="I3" s="634" t="str">
        <f t="shared" ref="I3:O3" si="0">H3</f>
        <v>Estimate</v>
      </c>
      <c r="J3" s="634" t="str">
        <f t="shared" si="0"/>
        <v>Estimate</v>
      </c>
      <c r="K3" s="627" t="str">
        <f t="shared" si="0"/>
        <v>Estimate</v>
      </c>
      <c r="L3" s="627" t="str">
        <f t="shared" si="0"/>
        <v>Estimate</v>
      </c>
      <c r="M3" s="634" t="str">
        <f t="shared" si="0"/>
        <v>Estimate</v>
      </c>
      <c r="N3" s="665" t="str">
        <f t="shared" si="0"/>
        <v>Estimate</v>
      </c>
      <c r="O3" s="667" t="str">
        <f t="shared" si="0"/>
        <v>Estimate</v>
      </c>
    </row>
    <row r="4" spans="1:256" ht="13.5" customHeight="1" x14ac:dyDescent="0.25">
      <c r="A4" s="153" t="s">
        <v>225</v>
      </c>
      <c r="B4" s="142">
        <v>1</v>
      </c>
      <c r="C4" s="626"/>
      <c r="D4" s="652"/>
      <c r="E4" s="626"/>
      <c r="F4" s="628"/>
      <c r="G4" s="637"/>
      <c r="H4" s="663"/>
      <c r="I4" s="635"/>
      <c r="J4" s="635"/>
      <c r="K4" s="628"/>
      <c r="L4" s="628"/>
      <c r="M4" s="635"/>
      <c r="N4" s="666"/>
      <c r="O4" s="668"/>
    </row>
    <row r="5" spans="1:256" ht="12.75" customHeight="1" x14ac:dyDescent="0.25">
      <c r="A5" s="22" t="s">
        <v>101</v>
      </c>
      <c r="B5" s="115">
        <v>2</v>
      </c>
      <c r="C5" s="28"/>
      <c r="D5" s="63"/>
      <c r="E5" s="28"/>
      <c r="F5" s="27"/>
      <c r="G5" s="106"/>
      <c r="H5" s="26"/>
      <c r="I5" s="27"/>
      <c r="J5" s="27"/>
      <c r="K5" s="27"/>
      <c r="L5" s="27"/>
      <c r="M5" s="27"/>
      <c r="N5" s="63"/>
      <c r="O5" s="97"/>
    </row>
    <row r="6" spans="1:256" ht="12.75" customHeight="1" x14ac:dyDescent="0.25">
      <c r="A6" s="584" t="s">
        <v>137</v>
      </c>
      <c r="B6" s="115"/>
      <c r="C6" s="284"/>
      <c r="D6" s="318"/>
      <c r="E6" s="284"/>
      <c r="F6" s="282"/>
      <c r="G6" s="283"/>
      <c r="H6" s="319"/>
      <c r="I6" s="282"/>
      <c r="J6" s="282"/>
      <c r="K6" s="282"/>
      <c r="L6" s="282"/>
      <c r="M6" s="282"/>
      <c r="N6" s="318"/>
      <c r="O6" s="97">
        <f>SUM(C6:N6)</f>
        <v>0</v>
      </c>
    </row>
    <row r="7" spans="1:256" ht="12.75" customHeight="1" x14ac:dyDescent="0.25">
      <c r="A7" s="584" t="s">
        <v>138</v>
      </c>
      <c r="B7" s="115"/>
      <c r="C7" s="284"/>
      <c r="D7" s="318"/>
      <c r="E7" s="284"/>
      <c r="F7" s="282"/>
      <c r="G7" s="283"/>
      <c r="H7" s="319"/>
      <c r="I7" s="282"/>
      <c r="J7" s="282"/>
      <c r="K7" s="282"/>
      <c r="L7" s="282"/>
      <c r="M7" s="282"/>
      <c r="N7" s="318"/>
      <c r="O7" s="97">
        <f>SUM(C7:N7)</f>
        <v>0</v>
      </c>
    </row>
    <row r="8" spans="1:256" ht="12.75" customHeight="1" x14ac:dyDescent="0.25">
      <c r="A8" s="584" t="s">
        <v>139</v>
      </c>
      <c r="B8" s="115"/>
      <c r="C8" s="284"/>
      <c r="D8" s="318"/>
      <c r="E8" s="284"/>
      <c r="F8" s="282"/>
      <c r="G8" s="283"/>
      <c r="H8" s="319"/>
      <c r="I8" s="282"/>
      <c r="J8" s="282"/>
      <c r="K8" s="282"/>
      <c r="L8" s="282"/>
      <c r="M8" s="282"/>
      <c r="N8" s="318"/>
      <c r="O8" s="97">
        <f>SUM(C8:N8)</f>
        <v>0</v>
      </c>
    </row>
    <row r="9" spans="1:256" ht="12.75" customHeight="1" x14ac:dyDescent="0.25">
      <c r="A9" s="59" t="s">
        <v>102</v>
      </c>
      <c r="B9" s="134"/>
      <c r="C9" s="154">
        <f>SUM(C6:C8)</f>
        <v>0</v>
      </c>
      <c r="D9" s="205">
        <f t="shared" ref="D9:O9" si="1">SUM(D6:D8)</f>
        <v>0</v>
      </c>
      <c r="E9" s="154">
        <f t="shared" si="1"/>
        <v>0</v>
      </c>
      <c r="F9" s="111">
        <f t="shared" si="1"/>
        <v>0</v>
      </c>
      <c r="G9" s="146">
        <f t="shared" si="1"/>
        <v>0</v>
      </c>
      <c r="H9" s="112">
        <f t="shared" si="1"/>
        <v>0</v>
      </c>
      <c r="I9" s="111">
        <f t="shared" si="1"/>
        <v>0</v>
      </c>
      <c r="J9" s="111">
        <f t="shared" si="1"/>
        <v>0</v>
      </c>
      <c r="K9" s="111">
        <f t="shared" si="1"/>
        <v>0</v>
      </c>
      <c r="L9" s="111">
        <f t="shared" si="1"/>
        <v>0</v>
      </c>
      <c r="M9" s="111">
        <f t="shared" si="1"/>
        <v>0</v>
      </c>
      <c r="N9" s="205">
        <f t="shared" si="1"/>
        <v>0</v>
      </c>
      <c r="O9" s="232">
        <f t="shared" si="1"/>
        <v>0</v>
      </c>
    </row>
    <row r="10" spans="1:256" ht="5.0999999999999996" customHeight="1" x14ac:dyDescent="0.25">
      <c r="A10" s="25"/>
      <c r="B10" s="115"/>
      <c r="C10" s="28"/>
      <c r="D10" s="63"/>
      <c r="E10" s="28"/>
      <c r="F10" s="27"/>
      <c r="G10" s="106"/>
      <c r="H10" s="26"/>
      <c r="I10" s="27"/>
      <c r="J10" s="27"/>
      <c r="K10" s="27"/>
      <c r="L10" s="27"/>
      <c r="M10" s="27"/>
      <c r="N10" s="63"/>
      <c r="O10" s="97"/>
    </row>
    <row r="11" spans="1:256" ht="12.75" customHeight="1" x14ac:dyDescent="0.25">
      <c r="A11" s="22" t="s">
        <v>100</v>
      </c>
      <c r="B11" s="115">
        <v>2</v>
      </c>
      <c r="C11" s="28"/>
      <c r="D11" s="63"/>
      <c r="E11" s="28"/>
      <c r="F11" s="27"/>
      <c r="G11" s="106"/>
      <c r="H11" s="26"/>
      <c r="I11" s="27"/>
      <c r="J11" s="27"/>
      <c r="K11" s="27"/>
      <c r="L11" s="27"/>
      <c r="M11" s="27"/>
      <c r="N11" s="63"/>
      <c r="O11" s="97"/>
    </row>
    <row r="12" spans="1:256" ht="12.75" customHeight="1" x14ac:dyDescent="0.25">
      <c r="A12" s="584" t="s">
        <v>137</v>
      </c>
      <c r="B12" s="115"/>
      <c r="C12" s="284"/>
      <c r="D12" s="318"/>
      <c r="E12" s="284"/>
      <c r="F12" s="282"/>
      <c r="G12" s="283"/>
      <c r="H12" s="319"/>
      <c r="I12" s="282"/>
      <c r="J12" s="282"/>
      <c r="K12" s="282"/>
      <c r="L12" s="282"/>
      <c r="M12" s="282"/>
      <c r="N12" s="318"/>
      <c r="O12" s="97">
        <f>SUM(C12:N12)</f>
        <v>0</v>
      </c>
    </row>
    <row r="13" spans="1:256" s="42" customFormat="1" ht="12.75" customHeight="1" x14ac:dyDescent="0.25">
      <c r="A13" s="584" t="s">
        <v>138</v>
      </c>
      <c r="B13" s="115"/>
      <c r="C13" s="284"/>
      <c r="D13" s="318"/>
      <c r="E13" s="284"/>
      <c r="F13" s="282"/>
      <c r="G13" s="283"/>
      <c r="H13" s="319"/>
      <c r="I13" s="282"/>
      <c r="J13" s="282"/>
      <c r="K13" s="282"/>
      <c r="L13" s="282"/>
      <c r="M13" s="282"/>
      <c r="N13" s="318"/>
      <c r="O13" s="97">
        <f>SUM(C13:N13)</f>
        <v>0</v>
      </c>
    </row>
    <row r="14" spans="1:256" s="42" customFormat="1" ht="12.75" customHeight="1" x14ac:dyDescent="0.25">
      <c r="A14" s="584" t="s">
        <v>139</v>
      </c>
      <c r="B14" s="115"/>
      <c r="C14" s="284"/>
      <c r="D14" s="318"/>
      <c r="E14" s="284"/>
      <c r="F14" s="282"/>
      <c r="G14" s="283"/>
      <c r="H14" s="319"/>
      <c r="I14" s="282"/>
      <c r="J14" s="282"/>
      <c r="K14" s="282"/>
      <c r="L14" s="282"/>
      <c r="M14" s="282"/>
      <c r="N14" s="318"/>
      <c r="O14" s="97">
        <f>SUM(C14:N14)</f>
        <v>0</v>
      </c>
    </row>
    <row r="15" spans="1:256" s="42" customFormat="1" ht="12.75" customHeight="1" x14ac:dyDescent="0.25">
      <c r="A15" s="59" t="s">
        <v>133</v>
      </c>
      <c r="B15" s="134"/>
      <c r="C15" s="154">
        <f>SUM(C12:C14)</f>
        <v>0</v>
      </c>
      <c r="D15" s="205">
        <f t="shared" ref="D15:O15" si="2">SUM(D12:D14)</f>
        <v>0</v>
      </c>
      <c r="E15" s="154">
        <f t="shared" si="2"/>
        <v>0</v>
      </c>
      <c r="F15" s="111">
        <f t="shared" si="2"/>
        <v>0</v>
      </c>
      <c r="G15" s="146">
        <f t="shared" si="2"/>
        <v>0</v>
      </c>
      <c r="H15" s="112">
        <f t="shared" si="2"/>
        <v>0</v>
      </c>
      <c r="I15" s="111">
        <f t="shared" si="2"/>
        <v>0</v>
      </c>
      <c r="J15" s="111">
        <f t="shared" si="2"/>
        <v>0</v>
      </c>
      <c r="K15" s="111">
        <f t="shared" si="2"/>
        <v>0</v>
      </c>
      <c r="L15" s="111">
        <f t="shared" si="2"/>
        <v>0</v>
      </c>
      <c r="M15" s="111">
        <f t="shared" si="2"/>
        <v>0</v>
      </c>
      <c r="N15" s="205">
        <f t="shared" si="2"/>
        <v>0</v>
      </c>
      <c r="O15" s="232">
        <f t="shared" si="2"/>
        <v>0</v>
      </c>
      <c r="P15" s="38"/>
      <c r="Q15" s="36"/>
      <c r="R15" s="26"/>
      <c r="S15" s="26"/>
      <c r="T15" s="26"/>
      <c r="U15" s="26"/>
      <c r="V15" s="26"/>
      <c r="W15" s="26"/>
      <c r="X15" s="26"/>
      <c r="Y15" s="26"/>
      <c r="Z15" s="26"/>
      <c r="AA15" s="26"/>
      <c r="AB15" s="26"/>
      <c r="AC15" s="26"/>
      <c r="AD15" s="26"/>
      <c r="AE15" s="38"/>
      <c r="AF15" s="36"/>
      <c r="AG15" s="26"/>
      <c r="AH15" s="26"/>
      <c r="AI15" s="26"/>
      <c r="AJ15" s="26"/>
      <c r="AK15" s="26"/>
      <c r="AL15" s="26"/>
      <c r="AM15" s="26"/>
      <c r="AN15" s="26"/>
      <c r="AO15" s="26"/>
      <c r="AP15" s="26"/>
      <c r="AQ15" s="26"/>
      <c r="AR15" s="26"/>
      <c r="AS15" s="26"/>
      <c r="AT15" s="38"/>
      <c r="AU15" s="36"/>
      <c r="AV15" s="26"/>
      <c r="AW15" s="26"/>
      <c r="AX15" s="26"/>
      <c r="AY15" s="26"/>
      <c r="AZ15" s="26"/>
      <c r="BA15" s="26"/>
      <c r="BB15" s="26"/>
      <c r="BC15" s="26"/>
      <c r="BD15" s="26"/>
      <c r="BE15" s="26"/>
      <c r="BF15" s="26"/>
      <c r="BG15" s="26"/>
      <c r="BH15" s="26"/>
      <c r="BI15" s="38"/>
      <c r="BJ15" s="36"/>
      <c r="BK15" s="26"/>
      <c r="BL15" s="26"/>
      <c r="BM15" s="26"/>
      <c r="BN15" s="26"/>
      <c r="BO15" s="26"/>
      <c r="BP15" s="26"/>
      <c r="BQ15" s="26"/>
      <c r="BR15" s="26"/>
      <c r="BS15" s="26"/>
      <c r="BT15" s="26"/>
      <c r="BU15" s="26"/>
      <c r="BV15" s="26"/>
      <c r="BW15" s="26"/>
      <c r="BX15" s="38"/>
      <c r="BY15" s="36"/>
      <c r="BZ15" s="26"/>
      <c r="CA15" s="26"/>
      <c r="CB15" s="26"/>
      <c r="CC15" s="26"/>
      <c r="CD15" s="26"/>
      <c r="CE15" s="26"/>
      <c r="CF15" s="26"/>
      <c r="CG15" s="26"/>
      <c r="CH15" s="26"/>
      <c r="CI15" s="26"/>
      <c r="CJ15" s="26"/>
      <c r="CK15" s="26"/>
      <c r="CL15" s="26"/>
      <c r="CM15" s="38"/>
      <c r="CN15" s="36"/>
      <c r="CO15" s="26"/>
      <c r="CP15" s="26"/>
      <c r="CQ15" s="26"/>
      <c r="CR15" s="26"/>
      <c r="CS15" s="26"/>
      <c r="CT15" s="26"/>
      <c r="CU15" s="26"/>
      <c r="CV15" s="26"/>
      <c r="CW15" s="26"/>
      <c r="CX15" s="26"/>
      <c r="CY15" s="26"/>
      <c r="CZ15" s="26"/>
      <c r="DA15" s="26"/>
      <c r="DB15" s="38"/>
      <c r="DC15" s="36"/>
      <c r="DD15" s="26"/>
      <c r="DE15" s="26"/>
      <c r="DF15" s="26"/>
      <c r="DG15" s="26"/>
      <c r="DH15" s="26"/>
      <c r="DI15" s="26"/>
      <c r="DJ15" s="26"/>
      <c r="DK15" s="26"/>
      <c r="DL15" s="26"/>
      <c r="DM15" s="26"/>
      <c r="DN15" s="26"/>
      <c r="DO15" s="26"/>
      <c r="DP15" s="26"/>
      <c r="DQ15" s="38"/>
      <c r="DR15" s="36"/>
      <c r="DS15" s="26"/>
      <c r="DT15" s="26"/>
      <c r="DU15" s="26"/>
      <c r="DV15" s="26"/>
      <c r="DW15" s="26"/>
      <c r="DX15" s="26"/>
      <c r="DY15" s="26"/>
      <c r="DZ15" s="26"/>
      <c r="EA15" s="26"/>
      <c r="EB15" s="26"/>
      <c r="EC15" s="26"/>
      <c r="ED15" s="26"/>
      <c r="EE15" s="26"/>
      <c r="EF15" s="38"/>
      <c r="EG15" s="36"/>
      <c r="EH15" s="26"/>
      <c r="EI15" s="26"/>
      <c r="EJ15" s="26"/>
      <c r="EK15" s="26"/>
      <c r="EL15" s="26"/>
      <c r="EM15" s="26"/>
      <c r="EN15" s="26"/>
      <c r="EO15" s="26"/>
      <c r="EP15" s="26"/>
      <c r="EQ15" s="26"/>
      <c r="ER15" s="26"/>
      <c r="ES15" s="26"/>
      <c r="ET15" s="26"/>
      <c r="EU15" s="38"/>
      <c r="EV15" s="36"/>
      <c r="EW15" s="26"/>
      <c r="EX15" s="26"/>
      <c r="EY15" s="26"/>
      <c r="EZ15" s="26"/>
      <c r="FA15" s="26"/>
      <c r="FB15" s="26"/>
      <c r="FC15" s="26"/>
      <c r="FD15" s="26"/>
      <c r="FE15" s="26"/>
      <c r="FF15" s="26"/>
      <c r="FG15" s="26"/>
      <c r="FH15" s="26"/>
      <c r="FI15" s="26"/>
      <c r="FJ15" s="38"/>
      <c r="FK15" s="36"/>
      <c r="FL15" s="26"/>
      <c r="FM15" s="26"/>
      <c r="FN15" s="26"/>
      <c r="FO15" s="26"/>
      <c r="FP15" s="26"/>
      <c r="FQ15" s="26"/>
      <c r="FR15" s="26"/>
      <c r="FS15" s="26"/>
      <c r="FT15" s="26"/>
      <c r="FU15" s="26"/>
      <c r="FV15" s="26"/>
      <c r="FW15" s="26"/>
      <c r="FX15" s="26"/>
      <c r="FY15" s="38"/>
      <c r="FZ15" s="36"/>
      <c r="GA15" s="26"/>
      <c r="GB15" s="26"/>
      <c r="GC15" s="26"/>
      <c r="GD15" s="26"/>
      <c r="GE15" s="26"/>
      <c r="GF15" s="26"/>
      <c r="GG15" s="26"/>
      <c r="GH15" s="26"/>
      <c r="GI15" s="26"/>
      <c r="GJ15" s="26"/>
      <c r="GK15" s="26"/>
      <c r="GL15" s="26"/>
      <c r="GM15" s="26"/>
      <c r="GN15" s="38"/>
      <c r="GO15" s="36"/>
      <c r="GP15" s="26"/>
      <c r="GQ15" s="26"/>
      <c r="GR15" s="26"/>
      <c r="GS15" s="26"/>
      <c r="GT15" s="26"/>
      <c r="GU15" s="26"/>
      <c r="GV15" s="26"/>
      <c r="GW15" s="26"/>
      <c r="GX15" s="26"/>
      <c r="GY15" s="26"/>
      <c r="GZ15" s="26"/>
      <c r="HA15" s="26"/>
      <c r="HB15" s="26"/>
      <c r="HC15" s="38"/>
      <c r="HD15" s="36"/>
      <c r="HE15" s="26"/>
      <c r="HF15" s="26"/>
      <c r="HG15" s="26"/>
      <c r="HH15" s="26"/>
      <c r="HI15" s="26"/>
      <c r="HJ15" s="26"/>
      <c r="HK15" s="26"/>
      <c r="HL15" s="26"/>
      <c r="HM15" s="26"/>
      <c r="HN15" s="26"/>
      <c r="HO15" s="26"/>
      <c r="HP15" s="26"/>
      <c r="HQ15" s="26"/>
      <c r="HR15" s="38"/>
      <c r="HS15" s="36"/>
      <c r="HT15" s="26"/>
      <c r="HU15" s="26"/>
      <c r="HV15" s="26"/>
      <c r="HW15" s="26"/>
      <c r="HX15" s="26"/>
      <c r="HY15" s="26"/>
      <c r="HZ15" s="26"/>
      <c r="IA15" s="26"/>
      <c r="IB15" s="26"/>
      <c r="IC15" s="26"/>
      <c r="ID15" s="26"/>
      <c r="IE15" s="26"/>
      <c r="IF15" s="26"/>
      <c r="IG15" s="38"/>
      <c r="IH15" s="36"/>
      <c r="II15" s="26"/>
      <c r="IJ15" s="26"/>
      <c r="IK15" s="26"/>
      <c r="IL15" s="26"/>
      <c r="IM15" s="26"/>
      <c r="IN15" s="26"/>
      <c r="IO15" s="26"/>
      <c r="IP15" s="26"/>
      <c r="IQ15" s="26"/>
      <c r="IR15" s="26"/>
      <c r="IS15" s="26"/>
      <c r="IT15" s="26"/>
      <c r="IU15" s="26"/>
      <c r="IV15" s="38"/>
    </row>
    <row r="16" spans="1:256" s="42" customFormat="1" ht="5.0999999999999996" customHeight="1" x14ac:dyDescent="0.25">
      <c r="A16" s="25"/>
      <c r="B16" s="115"/>
      <c r="C16" s="28"/>
      <c r="D16" s="63"/>
      <c r="E16" s="28"/>
      <c r="F16" s="27"/>
      <c r="G16" s="106"/>
      <c r="H16" s="26"/>
      <c r="I16" s="27"/>
      <c r="J16" s="27"/>
      <c r="K16" s="27"/>
      <c r="L16" s="27"/>
      <c r="M16" s="27"/>
      <c r="N16" s="63"/>
      <c r="O16" s="97"/>
    </row>
    <row r="17" spans="1:256" s="42" customFormat="1" ht="12.75" customHeight="1" x14ac:dyDescent="0.25">
      <c r="A17" s="22" t="s">
        <v>468</v>
      </c>
      <c r="B17" s="115">
        <v>2</v>
      </c>
      <c r="C17" s="28"/>
      <c r="D17" s="63"/>
      <c r="E17" s="28"/>
      <c r="F17" s="27"/>
      <c r="G17" s="106"/>
      <c r="H17" s="26"/>
      <c r="I17" s="27"/>
      <c r="J17" s="27"/>
      <c r="K17" s="27"/>
      <c r="L17" s="27"/>
      <c r="M17" s="27"/>
      <c r="N17" s="63"/>
      <c r="O17" s="97"/>
    </row>
    <row r="18" spans="1:256" s="42" customFormat="1" ht="12.75" customHeight="1" x14ac:dyDescent="0.25">
      <c r="A18" s="584" t="s">
        <v>137</v>
      </c>
      <c r="B18" s="115"/>
      <c r="C18" s="284"/>
      <c r="D18" s="318"/>
      <c r="E18" s="284"/>
      <c r="F18" s="282"/>
      <c r="G18" s="283"/>
      <c r="H18" s="319"/>
      <c r="I18" s="282"/>
      <c r="J18" s="282"/>
      <c r="K18" s="282"/>
      <c r="L18" s="282"/>
      <c r="M18" s="282"/>
      <c r="N18" s="318"/>
      <c r="O18" s="97">
        <f>SUM(C18:N18)</f>
        <v>0</v>
      </c>
    </row>
    <row r="19" spans="1:256" s="42" customFormat="1" ht="12.75" customHeight="1" x14ac:dyDescent="0.25">
      <c r="A19" s="584" t="s">
        <v>138</v>
      </c>
      <c r="B19" s="115"/>
      <c r="C19" s="284"/>
      <c r="D19" s="318"/>
      <c r="E19" s="284"/>
      <c r="F19" s="282"/>
      <c r="G19" s="283"/>
      <c r="H19" s="319"/>
      <c r="I19" s="282"/>
      <c r="J19" s="282"/>
      <c r="K19" s="282"/>
      <c r="L19" s="282"/>
      <c r="M19" s="282"/>
      <c r="N19" s="318"/>
      <c r="O19" s="97">
        <f>SUM(C19:N19)</f>
        <v>0</v>
      </c>
    </row>
    <row r="20" spans="1:256" s="42" customFormat="1" ht="12.75" customHeight="1" x14ac:dyDescent="0.25">
      <c r="A20" s="584" t="s">
        <v>139</v>
      </c>
      <c r="B20" s="115"/>
      <c r="C20" s="284"/>
      <c r="D20" s="318"/>
      <c r="E20" s="284"/>
      <c r="F20" s="282"/>
      <c r="G20" s="283"/>
      <c r="H20" s="319"/>
      <c r="I20" s="282"/>
      <c r="J20" s="282"/>
      <c r="K20" s="282"/>
      <c r="L20" s="282"/>
      <c r="M20" s="282"/>
      <c r="N20" s="318"/>
      <c r="O20" s="97">
        <f>SUM(C20:N20)</f>
        <v>0</v>
      </c>
    </row>
    <row r="21" spans="1:256" s="42" customFormat="1" ht="12.75" customHeight="1" x14ac:dyDescent="0.25">
      <c r="A21" s="59" t="s">
        <v>103</v>
      </c>
      <c r="B21" s="134"/>
      <c r="C21" s="154">
        <f>SUM(C18:C20)</f>
        <v>0</v>
      </c>
      <c r="D21" s="205">
        <f t="shared" ref="D21:O21" si="3">SUM(D18:D20)</f>
        <v>0</v>
      </c>
      <c r="E21" s="154">
        <f t="shared" si="3"/>
        <v>0</v>
      </c>
      <c r="F21" s="111">
        <f t="shared" si="3"/>
        <v>0</v>
      </c>
      <c r="G21" s="146">
        <f t="shared" si="3"/>
        <v>0</v>
      </c>
      <c r="H21" s="112">
        <f t="shared" si="3"/>
        <v>0</v>
      </c>
      <c r="I21" s="111">
        <f t="shared" si="3"/>
        <v>0</v>
      </c>
      <c r="J21" s="111">
        <f t="shared" si="3"/>
        <v>0</v>
      </c>
      <c r="K21" s="111">
        <f t="shared" si="3"/>
        <v>0</v>
      </c>
      <c r="L21" s="111">
        <f t="shared" si="3"/>
        <v>0</v>
      </c>
      <c r="M21" s="111">
        <f t="shared" si="3"/>
        <v>0</v>
      </c>
      <c r="N21" s="205">
        <f t="shared" si="3"/>
        <v>0</v>
      </c>
      <c r="O21" s="232">
        <f t="shared" si="3"/>
        <v>0</v>
      </c>
      <c r="P21" s="38"/>
      <c r="Q21" s="36"/>
      <c r="R21" s="26"/>
      <c r="S21" s="26"/>
      <c r="T21" s="26"/>
      <c r="U21" s="26"/>
      <c r="V21" s="26"/>
      <c r="W21" s="26"/>
      <c r="X21" s="26"/>
      <c r="Y21" s="26"/>
      <c r="Z21" s="26"/>
      <c r="AA21" s="26"/>
      <c r="AB21" s="26"/>
      <c r="AC21" s="26"/>
      <c r="AD21" s="26"/>
      <c r="AE21" s="38"/>
      <c r="AF21" s="36"/>
      <c r="AG21" s="26"/>
      <c r="AH21" s="26"/>
      <c r="AI21" s="26"/>
      <c r="AJ21" s="26"/>
      <c r="AK21" s="26"/>
      <c r="AL21" s="26"/>
      <c r="AM21" s="26"/>
      <c r="AN21" s="26"/>
      <c r="AO21" s="26"/>
      <c r="AP21" s="26"/>
      <c r="AQ21" s="26"/>
      <c r="AR21" s="26"/>
      <c r="AS21" s="26"/>
      <c r="AT21" s="38"/>
      <c r="AU21" s="36"/>
      <c r="AV21" s="26"/>
      <c r="AW21" s="26"/>
      <c r="AX21" s="26"/>
      <c r="AY21" s="26"/>
      <c r="AZ21" s="26"/>
      <c r="BA21" s="26"/>
      <c r="BB21" s="26"/>
      <c r="BC21" s="26"/>
      <c r="BD21" s="26"/>
      <c r="BE21" s="26"/>
      <c r="BF21" s="26"/>
      <c r="BG21" s="26"/>
      <c r="BH21" s="26"/>
      <c r="BI21" s="38"/>
      <c r="BJ21" s="36"/>
      <c r="BK21" s="26"/>
      <c r="BL21" s="26"/>
      <c r="BM21" s="26"/>
      <c r="BN21" s="26"/>
      <c r="BO21" s="26"/>
      <c r="BP21" s="26"/>
      <c r="BQ21" s="26"/>
      <c r="BR21" s="26"/>
      <c r="BS21" s="26"/>
      <c r="BT21" s="26"/>
      <c r="BU21" s="26"/>
      <c r="BV21" s="26"/>
      <c r="BW21" s="26"/>
      <c r="BX21" s="38"/>
      <c r="BY21" s="36"/>
      <c r="BZ21" s="26"/>
      <c r="CA21" s="26"/>
      <c r="CB21" s="26"/>
      <c r="CC21" s="26"/>
      <c r="CD21" s="26"/>
      <c r="CE21" s="26"/>
      <c r="CF21" s="26"/>
      <c r="CG21" s="26"/>
      <c r="CH21" s="26"/>
      <c r="CI21" s="26"/>
      <c r="CJ21" s="26"/>
      <c r="CK21" s="26"/>
      <c r="CL21" s="26"/>
      <c r="CM21" s="38"/>
      <c r="CN21" s="36"/>
      <c r="CO21" s="26"/>
      <c r="CP21" s="26"/>
      <c r="CQ21" s="26"/>
      <c r="CR21" s="26"/>
      <c r="CS21" s="26"/>
      <c r="CT21" s="26"/>
      <c r="CU21" s="26"/>
      <c r="CV21" s="26"/>
      <c r="CW21" s="26"/>
      <c r="CX21" s="26"/>
      <c r="CY21" s="26"/>
      <c r="CZ21" s="26"/>
      <c r="DA21" s="26"/>
      <c r="DB21" s="38"/>
      <c r="DC21" s="36"/>
      <c r="DD21" s="26"/>
      <c r="DE21" s="26"/>
      <c r="DF21" s="26"/>
      <c r="DG21" s="26"/>
      <c r="DH21" s="26"/>
      <c r="DI21" s="26"/>
      <c r="DJ21" s="26"/>
      <c r="DK21" s="26"/>
      <c r="DL21" s="26"/>
      <c r="DM21" s="26"/>
      <c r="DN21" s="26"/>
      <c r="DO21" s="26"/>
      <c r="DP21" s="26"/>
      <c r="DQ21" s="38"/>
      <c r="DR21" s="36"/>
      <c r="DS21" s="26"/>
      <c r="DT21" s="26"/>
      <c r="DU21" s="26"/>
      <c r="DV21" s="26"/>
      <c r="DW21" s="26"/>
      <c r="DX21" s="26"/>
      <c r="DY21" s="26"/>
      <c r="DZ21" s="26"/>
      <c r="EA21" s="26"/>
      <c r="EB21" s="26"/>
      <c r="EC21" s="26"/>
      <c r="ED21" s="26"/>
      <c r="EE21" s="26"/>
      <c r="EF21" s="38"/>
      <c r="EG21" s="36"/>
      <c r="EH21" s="26"/>
      <c r="EI21" s="26"/>
      <c r="EJ21" s="26"/>
      <c r="EK21" s="26"/>
      <c r="EL21" s="26"/>
      <c r="EM21" s="26"/>
      <c r="EN21" s="26"/>
      <c r="EO21" s="26"/>
      <c r="EP21" s="26"/>
      <c r="EQ21" s="26"/>
      <c r="ER21" s="26"/>
      <c r="ES21" s="26"/>
      <c r="ET21" s="26"/>
      <c r="EU21" s="38"/>
      <c r="EV21" s="36"/>
      <c r="EW21" s="26"/>
      <c r="EX21" s="26"/>
      <c r="EY21" s="26"/>
      <c r="EZ21" s="26"/>
      <c r="FA21" s="26"/>
      <c r="FB21" s="26"/>
      <c r="FC21" s="26"/>
      <c r="FD21" s="26"/>
      <c r="FE21" s="26"/>
      <c r="FF21" s="26"/>
      <c r="FG21" s="26"/>
      <c r="FH21" s="26"/>
      <c r="FI21" s="26"/>
      <c r="FJ21" s="38"/>
      <c r="FK21" s="36"/>
      <c r="FL21" s="26"/>
      <c r="FM21" s="26"/>
      <c r="FN21" s="26"/>
      <c r="FO21" s="26"/>
      <c r="FP21" s="26"/>
      <c r="FQ21" s="26"/>
      <c r="FR21" s="26"/>
      <c r="FS21" s="26"/>
      <c r="FT21" s="26"/>
      <c r="FU21" s="26"/>
      <c r="FV21" s="26"/>
      <c r="FW21" s="26"/>
      <c r="FX21" s="26"/>
      <c r="FY21" s="38"/>
      <c r="FZ21" s="36"/>
      <c r="GA21" s="26"/>
      <c r="GB21" s="26"/>
      <c r="GC21" s="26"/>
      <c r="GD21" s="26"/>
      <c r="GE21" s="26"/>
      <c r="GF21" s="26"/>
      <c r="GG21" s="26"/>
      <c r="GH21" s="26"/>
      <c r="GI21" s="26"/>
      <c r="GJ21" s="26"/>
      <c r="GK21" s="26"/>
      <c r="GL21" s="26"/>
      <c r="GM21" s="26"/>
      <c r="GN21" s="38"/>
      <c r="GO21" s="36"/>
      <c r="GP21" s="26"/>
      <c r="GQ21" s="26"/>
      <c r="GR21" s="26"/>
      <c r="GS21" s="26"/>
      <c r="GT21" s="26"/>
      <c r="GU21" s="26"/>
      <c r="GV21" s="26"/>
      <c r="GW21" s="26"/>
      <c r="GX21" s="26"/>
      <c r="GY21" s="26"/>
      <c r="GZ21" s="26"/>
      <c r="HA21" s="26"/>
      <c r="HB21" s="26"/>
      <c r="HC21" s="38"/>
      <c r="HD21" s="36"/>
      <c r="HE21" s="26"/>
      <c r="HF21" s="26"/>
      <c r="HG21" s="26"/>
      <c r="HH21" s="26"/>
      <c r="HI21" s="26"/>
      <c r="HJ21" s="26"/>
      <c r="HK21" s="26"/>
      <c r="HL21" s="26"/>
      <c r="HM21" s="26"/>
      <c r="HN21" s="26"/>
      <c r="HO21" s="26"/>
      <c r="HP21" s="26"/>
      <c r="HQ21" s="26"/>
      <c r="HR21" s="38"/>
      <c r="HS21" s="36"/>
      <c r="HT21" s="26"/>
      <c r="HU21" s="26"/>
      <c r="HV21" s="26"/>
      <c r="HW21" s="26"/>
      <c r="HX21" s="26"/>
      <c r="HY21" s="26"/>
      <c r="HZ21" s="26"/>
      <c r="IA21" s="26"/>
      <c r="IB21" s="26"/>
      <c r="IC21" s="26"/>
      <c r="ID21" s="26"/>
      <c r="IE21" s="26"/>
      <c r="IF21" s="26"/>
      <c r="IG21" s="38"/>
      <c r="IH21" s="36"/>
      <c r="II21" s="26"/>
      <c r="IJ21" s="26"/>
      <c r="IK21" s="26"/>
      <c r="IL21" s="26"/>
      <c r="IM21" s="26"/>
      <c r="IN21" s="26"/>
      <c r="IO21" s="26"/>
      <c r="IP21" s="26"/>
      <c r="IQ21" s="26"/>
      <c r="IR21" s="26"/>
      <c r="IS21" s="26"/>
      <c r="IT21" s="26"/>
      <c r="IU21" s="26"/>
      <c r="IV21" s="38"/>
    </row>
    <row r="22" spans="1:256" s="42" customFormat="1" ht="5.0999999999999996" customHeight="1" x14ac:dyDescent="0.25">
      <c r="A22" s="25"/>
      <c r="B22" s="115"/>
      <c r="C22" s="28"/>
      <c r="D22" s="63"/>
      <c r="E22" s="28"/>
      <c r="F22" s="27"/>
      <c r="G22" s="106"/>
      <c r="H22" s="26"/>
      <c r="I22" s="27"/>
      <c r="J22" s="27"/>
      <c r="K22" s="27"/>
      <c r="L22" s="27"/>
      <c r="M22" s="27"/>
      <c r="N22" s="63"/>
      <c r="O22" s="97"/>
    </row>
    <row r="23" spans="1:256" s="42" customFormat="1" ht="12.75" customHeight="1" x14ac:dyDescent="0.25">
      <c r="A23" s="32" t="s">
        <v>104</v>
      </c>
      <c r="B23" s="136"/>
      <c r="C23" s="149">
        <f t="shared" ref="C23:O23" si="4">C15+C21</f>
        <v>0</v>
      </c>
      <c r="D23" s="206">
        <f t="shared" si="4"/>
        <v>0</v>
      </c>
      <c r="E23" s="149">
        <f t="shared" si="4"/>
        <v>0</v>
      </c>
      <c r="F23" s="150">
        <f t="shared" si="4"/>
        <v>0</v>
      </c>
      <c r="G23" s="151">
        <f t="shared" si="4"/>
        <v>0</v>
      </c>
      <c r="H23" s="207">
        <f t="shared" si="4"/>
        <v>0</v>
      </c>
      <c r="I23" s="150">
        <f t="shared" si="4"/>
        <v>0</v>
      </c>
      <c r="J23" s="150">
        <f t="shared" si="4"/>
        <v>0</v>
      </c>
      <c r="K23" s="150">
        <f t="shared" si="4"/>
        <v>0</v>
      </c>
      <c r="L23" s="150">
        <f t="shared" si="4"/>
        <v>0</v>
      </c>
      <c r="M23" s="150">
        <f t="shared" si="4"/>
        <v>0</v>
      </c>
      <c r="N23" s="206">
        <f t="shared" si="4"/>
        <v>0</v>
      </c>
      <c r="O23" s="233">
        <f t="shared" si="4"/>
        <v>0</v>
      </c>
      <c r="P23" s="38"/>
      <c r="Q23" s="36"/>
      <c r="R23" s="26"/>
      <c r="S23" s="26"/>
      <c r="T23" s="26"/>
      <c r="U23" s="26"/>
      <c r="V23" s="26"/>
      <c r="W23" s="26"/>
      <c r="X23" s="26"/>
      <c r="Y23" s="26"/>
      <c r="Z23" s="26"/>
      <c r="AA23" s="26"/>
      <c r="AB23" s="26"/>
      <c r="AC23" s="26"/>
      <c r="AD23" s="26"/>
      <c r="AE23" s="38"/>
      <c r="AF23" s="36"/>
      <c r="AG23" s="26"/>
      <c r="AH23" s="26"/>
      <c r="AI23" s="26"/>
      <c r="AJ23" s="26"/>
      <c r="AK23" s="26"/>
      <c r="AL23" s="26"/>
      <c r="AM23" s="26"/>
      <c r="AN23" s="26"/>
      <c r="AO23" s="26"/>
      <c r="AP23" s="26"/>
      <c r="AQ23" s="26"/>
      <c r="AR23" s="26"/>
      <c r="AS23" s="26"/>
      <c r="AT23" s="38"/>
      <c r="AU23" s="36"/>
      <c r="AV23" s="26"/>
      <c r="AW23" s="26"/>
      <c r="AX23" s="26"/>
      <c r="AY23" s="26"/>
      <c r="AZ23" s="26"/>
      <c r="BA23" s="26"/>
      <c r="BB23" s="26"/>
      <c r="BC23" s="26"/>
      <c r="BD23" s="26"/>
      <c r="BE23" s="26"/>
      <c r="BF23" s="26"/>
      <c r="BG23" s="26"/>
      <c r="BH23" s="26"/>
      <c r="BI23" s="38"/>
      <c r="BJ23" s="36"/>
      <c r="BK23" s="26"/>
      <c r="BL23" s="26"/>
      <c r="BM23" s="26"/>
      <c r="BN23" s="26"/>
      <c r="BO23" s="26"/>
      <c r="BP23" s="26"/>
      <c r="BQ23" s="26"/>
      <c r="BR23" s="26"/>
      <c r="BS23" s="26"/>
      <c r="BT23" s="26"/>
      <c r="BU23" s="26"/>
      <c r="BV23" s="26"/>
      <c r="BW23" s="26"/>
      <c r="BX23" s="38"/>
      <c r="BY23" s="36"/>
      <c r="BZ23" s="26"/>
      <c r="CA23" s="26"/>
      <c r="CB23" s="26"/>
      <c r="CC23" s="26"/>
      <c r="CD23" s="26"/>
      <c r="CE23" s="26"/>
      <c r="CF23" s="26"/>
      <c r="CG23" s="26"/>
      <c r="CH23" s="26"/>
      <c r="CI23" s="26"/>
      <c r="CJ23" s="26"/>
      <c r="CK23" s="26"/>
      <c r="CL23" s="26"/>
      <c r="CM23" s="38"/>
      <c r="CN23" s="36"/>
      <c r="CO23" s="26"/>
      <c r="CP23" s="26"/>
      <c r="CQ23" s="26"/>
      <c r="CR23" s="26"/>
      <c r="CS23" s="26"/>
      <c r="CT23" s="26"/>
      <c r="CU23" s="26"/>
      <c r="CV23" s="26"/>
      <c r="CW23" s="26"/>
      <c r="CX23" s="26"/>
      <c r="CY23" s="26"/>
      <c r="CZ23" s="26"/>
      <c r="DA23" s="26"/>
      <c r="DB23" s="38"/>
      <c r="DC23" s="36"/>
      <c r="DD23" s="26"/>
      <c r="DE23" s="26"/>
      <c r="DF23" s="26"/>
      <c r="DG23" s="26"/>
      <c r="DH23" s="26"/>
      <c r="DI23" s="26"/>
      <c r="DJ23" s="26"/>
      <c r="DK23" s="26"/>
      <c r="DL23" s="26"/>
      <c r="DM23" s="26"/>
      <c r="DN23" s="26"/>
      <c r="DO23" s="26"/>
      <c r="DP23" s="26"/>
      <c r="DQ23" s="38"/>
      <c r="DR23" s="36"/>
      <c r="DS23" s="26"/>
      <c r="DT23" s="26"/>
      <c r="DU23" s="26"/>
      <c r="DV23" s="26"/>
      <c r="DW23" s="26"/>
      <c r="DX23" s="26"/>
      <c r="DY23" s="26"/>
      <c r="DZ23" s="26"/>
      <c r="EA23" s="26"/>
      <c r="EB23" s="26"/>
      <c r="EC23" s="26"/>
      <c r="ED23" s="26"/>
      <c r="EE23" s="26"/>
      <c r="EF23" s="38"/>
      <c r="EG23" s="36"/>
      <c r="EH23" s="26"/>
      <c r="EI23" s="26"/>
      <c r="EJ23" s="26"/>
      <c r="EK23" s="26"/>
      <c r="EL23" s="26"/>
      <c r="EM23" s="26"/>
      <c r="EN23" s="26"/>
      <c r="EO23" s="26"/>
      <c r="EP23" s="26"/>
      <c r="EQ23" s="26"/>
      <c r="ER23" s="26"/>
      <c r="ES23" s="26"/>
      <c r="ET23" s="26"/>
      <c r="EU23" s="38"/>
      <c r="EV23" s="36"/>
      <c r="EW23" s="26"/>
      <c r="EX23" s="26"/>
      <c r="EY23" s="26"/>
      <c r="EZ23" s="26"/>
      <c r="FA23" s="26"/>
      <c r="FB23" s="26"/>
      <c r="FC23" s="26"/>
      <c r="FD23" s="26"/>
      <c r="FE23" s="26"/>
      <c r="FF23" s="26"/>
      <c r="FG23" s="26"/>
      <c r="FH23" s="26"/>
      <c r="FI23" s="26"/>
      <c r="FJ23" s="38"/>
      <c r="FK23" s="36"/>
      <c r="FL23" s="26"/>
      <c r="FM23" s="26"/>
      <c r="FN23" s="26"/>
      <c r="FO23" s="26"/>
      <c r="FP23" s="26"/>
      <c r="FQ23" s="26"/>
      <c r="FR23" s="26"/>
      <c r="FS23" s="26"/>
      <c r="FT23" s="26"/>
      <c r="FU23" s="26"/>
      <c r="FV23" s="26"/>
      <c r="FW23" s="26"/>
      <c r="FX23" s="26"/>
      <c r="FY23" s="38"/>
      <c r="FZ23" s="36"/>
      <c r="GA23" s="26"/>
      <c r="GB23" s="26"/>
      <c r="GC23" s="26"/>
      <c r="GD23" s="26"/>
      <c r="GE23" s="26"/>
      <c r="GF23" s="26"/>
      <c r="GG23" s="26"/>
      <c r="GH23" s="26"/>
      <c r="GI23" s="26"/>
      <c r="GJ23" s="26"/>
      <c r="GK23" s="26"/>
      <c r="GL23" s="26"/>
      <c r="GM23" s="26"/>
      <c r="GN23" s="38"/>
      <c r="GO23" s="36"/>
      <c r="GP23" s="26"/>
      <c r="GQ23" s="26"/>
      <c r="GR23" s="26"/>
      <c r="GS23" s="26"/>
      <c r="GT23" s="26"/>
      <c r="GU23" s="26"/>
      <c r="GV23" s="26"/>
      <c r="GW23" s="26"/>
      <c r="GX23" s="26"/>
      <c r="GY23" s="26"/>
      <c r="GZ23" s="26"/>
      <c r="HA23" s="26"/>
      <c r="HB23" s="26"/>
      <c r="HC23" s="38"/>
      <c r="HD23" s="36"/>
      <c r="HE23" s="26"/>
      <c r="HF23" s="26"/>
      <c r="HG23" s="26"/>
      <c r="HH23" s="26"/>
      <c r="HI23" s="26"/>
      <c r="HJ23" s="26"/>
      <c r="HK23" s="26"/>
      <c r="HL23" s="26"/>
      <c r="HM23" s="26"/>
      <c r="HN23" s="26"/>
      <c r="HO23" s="26"/>
      <c r="HP23" s="26"/>
      <c r="HQ23" s="26"/>
      <c r="HR23" s="38"/>
      <c r="HS23" s="36"/>
      <c r="HT23" s="26"/>
      <c r="HU23" s="26"/>
      <c r="HV23" s="26"/>
      <c r="HW23" s="26"/>
      <c r="HX23" s="26"/>
      <c r="HY23" s="26"/>
      <c r="HZ23" s="26"/>
      <c r="IA23" s="26"/>
      <c r="IB23" s="26"/>
      <c r="IC23" s="26"/>
      <c r="ID23" s="26"/>
      <c r="IE23" s="26"/>
      <c r="IF23" s="26"/>
      <c r="IG23" s="38"/>
      <c r="IH23" s="36"/>
      <c r="II23" s="26"/>
      <c r="IJ23" s="26"/>
      <c r="IK23" s="26"/>
      <c r="IL23" s="26"/>
      <c r="IM23" s="26"/>
      <c r="IN23" s="26"/>
      <c r="IO23" s="26"/>
      <c r="IP23" s="26"/>
      <c r="IQ23" s="26"/>
      <c r="IR23" s="26"/>
      <c r="IS23" s="26"/>
      <c r="IT23" s="26"/>
      <c r="IU23" s="26"/>
      <c r="IV23" s="38"/>
    </row>
    <row r="24" spans="1:256" s="42" customFormat="1" ht="12.75" customHeight="1" x14ac:dyDescent="0.25">
      <c r="A24" s="35" t="str">
        <f>head27a</f>
        <v>References</v>
      </c>
      <c r="B24" s="36"/>
      <c r="C24" s="39"/>
      <c r="D24" s="39"/>
      <c r="E24" s="39"/>
      <c r="F24" s="39"/>
      <c r="G24" s="39"/>
      <c r="H24" s="39"/>
      <c r="I24" s="39"/>
      <c r="J24" s="39"/>
      <c r="K24" s="39"/>
      <c r="L24" s="39"/>
      <c r="M24" s="39"/>
      <c r="N24" s="39"/>
      <c r="O24" s="52"/>
    </row>
    <row r="25" spans="1:256" s="42" customFormat="1" ht="12.75" customHeight="1" x14ac:dyDescent="0.25">
      <c r="A25" s="37" t="s">
        <v>484</v>
      </c>
      <c r="B25" s="36"/>
      <c r="C25" s="38"/>
      <c r="D25" s="39"/>
      <c r="E25" s="39"/>
      <c r="F25" s="39"/>
      <c r="G25" s="39"/>
    </row>
    <row r="26" spans="1:256" ht="12.75" customHeight="1" x14ac:dyDescent="0.25">
      <c r="A26" s="47" t="s">
        <v>105</v>
      </c>
      <c r="B26" s="36"/>
      <c r="C26" s="38"/>
      <c r="D26" s="39"/>
      <c r="E26" s="39"/>
      <c r="F26" s="39"/>
      <c r="G26" s="39"/>
      <c r="H26" s="42"/>
      <c r="I26" s="42"/>
      <c r="J26" s="42"/>
      <c r="K26" s="42"/>
      <c r="L26" s="42"/>
      <c r="M26" s="42"/>
      <c r="N26" s="42"/>
      <c r="O26" s="42"/>
    </row>
    <row r="27" spans="1:256" ht="11.25" customHeight="1" x14ac:dyDescent="0.25">
      <c r="A27" s="49"/>
      <c r="B27" s="40"/>
      <c r="C27" s="52"/>
      <c r="D27" s="60"/>
      <c r="E27" s="52"/>
      <c r="F27" s="52"/>
      <c r="G27" s="52"/>
    </row>
    <row r="28" spans="1:256" ht="11.25" customHeight="1" x14ac:dyDescent="0.25"/>
    <row r="29" spans="1:256" ht="11.25" customHeight="1" x14ac:dyDescent="0.25"/>
    <row r="30" spans="1:256" ht="11.25" customHeight="1" x14ac:dyDescent="0.25"/>
    <row r="31" spans="1:256" ht="11.25" customHeight="1" x14ac:dyDescent="0.25"/>
    <row r="32" spans="1:256" ht="11.25" customHeight="1" x14ac:dyDescent="0.25"/>
    <row r="33" ht="11.25" customHeight="1" x14ac:dyDescent="0.25"/>
    <row r="34" ht="11.25" customHeight="1" x14ac:dyDescent="0.25"/>
    <row r="35" ht="11.25" customHeight="1" x14ac:dyDescent="0.25"/>
    <row r="36" ht="11.25" customHeight="1" x14ac:dyDescent="0.25"/>
    <row r="37" ht="11.25" customHeight="1" x14ac:dyDescent="0.25"/>
    <row r="38" ht="11.25" customHeight="1" x14ac:dyDescent="0.25"/>
    <row r="39" ht="11.25" customHeight="1" x14ac:dyDescent="0.25"/>
    <row r="40" ht="11.25" customHeight="1" x14ac:dyDescent="0.25"/>
    <row r="41" ht="11.25" customHeight="1" x14ac:dyDescent="0.25"/>
    <row r="42" ht="11.25" customHeight="1" x14ac:dyDescent="0.25"/>
    <row r="43" ht="11.25" customHeight="1" x14ac:dyDescent="0.25"/>
    <row r="44" ht="11.25" customHeight="1" x14ac:dyDescent="0.25"/>
    <row r="45" ht="11.25" customHeight="1" x14ac:dyDescent="0.25"/>
    <row r="46" ht="11.25" customHeight="1" x14ac:dyDescent="0.25"/>
    <row r="47" ht="11.25" customHeight="1" x14ac:dyDescent="0.25"/>
    <row r="48" ht="11.25" customHeight="1" x14ac:dyDescent="0.25"/>
    <row r="49" ht="11.25" customHeight="1" x14ac:dyDescent="0.25"/>
    <row r="50" ht="11.25" customHeight="1" x14ac:dyDescent="0.25"/>
    <row r="51" ht="11.25" customHeight="1" x14ac:dyDescent="0.25"/>
    <row r="52" ht="11.25" customHeight="1" x14ac:dyDescent="0.25"/>
    <row r="53" ht="11.25" customHeight="1" x14ac:dyDescent="0.25"/>
    <row r="54" ht="11.25" customHeight="1" x14ac:dyDescent="0.25"/>
    <row r="55" ht="11.25" customHeight="1" x14ac:dyDescent="0.25"/>
    <row r="56" ht="11.25" customHeight="1" x14ac:dyDescent="0.25"/>
    <row r="57" ht="11.25" customHeight="1" x14ac:dyDescent="0.25"/>
    <row r="58" ht="11.25" customHeight="1" x14ac:dyDescent="0.25"/>
    <row r="59" ht="11.25" customHeight="1" x14ac:dyDescent="0.25"/>
    <row r="60" ht="11.25" customHeight="1" x14ac:dyDescent="0.25"/>
    <row r="61" ht="11.25" customHeight="1" x14ac:dyDescent="0.25"/>
    <row r="62" ht="11.25" customHeight="1" x14ac:dyDescent="0.25"/>
  </sheetData>
  <sheetProtection sheet="1" objects="1" scenarios="1"/>
  <mergeCells count="16">
    <mergeCell ref="M3:M4"/>
    <mergeCell ref="N3:N4"/>
    <mergeCell ref="O3:O4"/>
    <mergeCell ref="I3:I4"/>
    <mergeCell ref="J3:J4"/>
    <mergeCell ref="K3:K4"/>
    <mergeCell ref="L3:L4"/>
    <mergeCell ref="G3:G4"/>
    <mergeCell ref="H3:H4"/>
    <mergeCell ref="A2:A3"/>
    <mergeCell ref="B2:B3"/>
    <mergeCell ref="C3:C4"/>
    <mergeCell ref="D3:D4"/>
    <mergeCell ref="E2:G2"/>
    <mergeCell ref="E3:E4"/>
    <mergeCell ref="F3:F4"/>
  </mergeCells>
  <phoneticPr fontId="2" type="noConversion"/>
  <printOptions horizontalCentered="1"/>
  <pageMargins left="0.35433070866141736" right="0.51" top="0.78740157480314965" bottom="0.59055118110236227" header="0.62992125984251968" footer="0.39370078740157483"/>
  <pageSetup paperSize="9" scale="92"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0">
    <tabColor rgb="FFCCFFCC"/>
    <pageSetUpPr fitToPage="1"/>
  </sheetPr>
  <dimension ref="A1:L61"/>
  <sheetViews>
    <sheetView showGridLines="0" workbookViewId="0">
      <pane xSplit="2" ySplit="4" topLeftCell="C5" activePane="bottomRight" state="frozen"/>
      <selection activeCell="G21" sqref="G21"/>
      <selection pane="topRight" activeCell="G21" sqref="G21"/>
      <selection pane="bottomLeft" activeCell="G21" sqref="G21"/>
      <selection pane="bottomRight" activeCell="C5" sqref="C5"/>
    </sheetView>
  </sheetViews>
  <sheetFormatPr defaultRowHeight="12.75" x14ac:dyDescent="0.25"/>
  <cols>
    <col min="1" max="1" width="35.7109375" style="20" customWidth="1"/>
    <col min="2" max="2" width="3.5703125" style="43" customWidth="1"/>
    <col min="3" max="3" width="10.7109375" style="20" customWidth="1"/>
    <col min="4" max="4" width="25.7109375" style="20" customWidth="1"/>
    <col min="5" max="6" width="10.7109375" style="20" customWidth="1"/>
    <col min="7" max="7" width="9.85546875" style="20" customWidth="1"/>
    <col min="8" max="8" width="9.85546875" style="20" bestFit="1" customWidth="1"/>
    <col min="9" max="10" width="9.85546875" style="20" customWidth="1"/>
    <col min="11" max="11" width="9.5703125" style="20" customWidth="1"/>
    <col min="12" max="12" width="9.85546875" style="20" customWidth="1"/>
    <col min="13" max="15" width="9.5703125" style="20" customWidth="1"/>
    <col min="16" max="16" width="9.85546875" style="20" customWidth="1"/>
    <col min="17" max="19" width="9.5703125" style="20" customWidth="1"/>
    <col min="20" max="21" width="9.85546875" style="20" customWidth="1"/>
    <col min="22" max="16384" width="9.140625" style="20"/>
  </cols>
  <sheetData>
    <row r="1" spans="1:6" ht="13.5" x14ac:dyDescent="0.25">
      <c r="A1" s="113" t="str">
        <f>_MEB11</f>
        <v>Greater Tzaneen Economic Development Agency (GTEDA) - Supporting Table SD11 External mechanisms</v>
      </c>
    </row>
    <row r="2" spans="1:6" ht="38.25" x14ac:dyDescent="0.25">
      <c r="A2" s="335" t="s">
        <v>298</v>
      </c>
      <c r="B2" s="675" t="str">
        <f>head27</f>
        <v>Ref</v>
      </c>
      <c r="C2" s="214" t="s">
        <v>997</v>
      </c>
      <c r="D2" s="215" t="s">
        <v>302</v>
      </c>
      <c r="E2" s="669" t="s">
        <v>300</v>
      </c>
      <c r="F2" s="672" t="s">
        <v>996</v>
      </c>
    </row>
    <row r="3" spans="1:6" ht="24" customHeight="1" x14ac:dyDescent="0.25">
      <c r="A3" s="367" t="s">
        <v>299</v>
      </c>
      <c r="B3" s="676"/>
      <c r="C3" s="130" t="s">
        <v>349</v>
      </c>
      <c r="D3" s="213"/>
      <c r="E3" s="670"/>
      <c r="F3" s="673"/>
    </row>
    <row r="4" spans="1:6" ht="13.5" customHeight="1" x14ac:dyDescent="0.25">
      <c r="A4" s="210" t="s">
        <v>225</v>
      </c>
      <c r="B4" s="369"/>
      <c r="C4" s="216"/>
      <c r="D4" s="216"/>
      <c r="E4" s="671"/>
      <c r="F4" s="674"/>
    </row>
    <row r="5" spans="1:6" ht="12.75" customHeight="1" x14ac:dyDescent="0.25">
      <c r="A5" s="368" t="str">
        <f>[6]Sheet1!$C$46</f>
        <v>1261- Information Technology</v>
      </c>
      <c r="B5" s="370"/>
      <c r="C5" s="332"/>
      <c r="D5" s="332" t="s">
        <v>1022</v>
      </c>
      <c r="E5" s="332" t="s">
        <v>1027</v>
      </c>
      <c r="F5" s="603">
        <f>[6]Sheet1!$I$46</f>
        <v>8000</v>
      </c>
    </row>
    <row r="6" spans="1:6" ht="12.75" customHeight="1" x14ac:dyDescent="0.25">
      <c r="A6" s="314" t="str">
        <f>[6]Sheet1!$C$47</f>
        <v>1263 - Security</v>
      </c>
      <c r="B6" s="371"/>
      <c r="C6" s="333"/>
      <c r="D6" s="333" t="s">
        <v>1023</v>
      </c>
      <c r="E6" s="333" t="s">
        <v>1027</v>
      </c>
      <c r="F6" s="283">
        <f>[6]Sheet1!$I$47</f>
        <v>7000</v>
      </c>
    </row>
    <row r="7" spans="1:6" ht="12.75" customHeight="1" x14ac:dyDescent="0.25">
      <c r="A7" s="314" t="str">
        <f>[6]Sheet1!$C$48</f>
        <v>1265 - Cleaning</v>
      </c>
      <c r="B7" s="371"/>
      <c r="C7" s="333"/>
      <c r="D7" s="333" t="s">
        <v>1024</v>
      </c>
      <c r="E7" s="333" t="s">
        <v>1027</v>
      </c>
      <c r="F7" s="283">
        <f>[6]Sheet1!$I$48</f>
        <v>6000</v>
      </c>
    </row>
    <row r="8" spans="1:6" ht="12.75" customHeight="1" x14ac:dyDescent="0.25">
      <c r="A8" s="314" t="str">
        <f>[6]Sheet1!$C$49</f>
        <v>xxxx - Rent Premises</v>
      </c>
      <c r="B8" s="371"/>
      <c r="C8" s="333"/>
      <c r="D8" s="333" t="s">
        <v>1025</v>
      </c>
      <c r="E8" s="333" t="s">
        <v>1027</v>
      </c>
      <c r="F8" s="283">
        <f>[6]Sheet1!$I$49</f>
        <v>252000</v>
      </c>
    </row>
    <row r="9" spans="1:6" ht="12.75" customHeight="1" x14ac:dyDescent="0.25">
      <c r="A9" s="314" t="str">
        <f>[6]Sheet1!$C$50</f>
        <v>1270 - Internal audit</v>
      </c>
      <c r="B9" s="371"/>
      <c r="C9" s="333"/>
      <c r="D9" s="333" t="s">
        <v>1026</v>
      </c>
      <c r="E9" s="333" t="s">
        <v>1027</v>
      </c>
      <c r="F9" s="283">
        <f>[6]Sheet1!$I$50</f>
        <v>130000</v>
      </c>
    </row>
    <row r="10" spans="1:6" ht="12.75" customHeight="1" x14ac:dyDescent="0.25">
      <c r="A10" s="314"/>
      <c r="B10" s="371"/>
      <c r="C10" s="333"/>
      <c r="D10" s="333"/>
      <c r="E10" s="333"/>
      <c r="F10" s="283"/>
    </row>
    <row r="11" spans="1:6" ht="12.75" customHeight="1" x14ac:dyDescent="0.25">
      <c r="A11" s="314"/>
      <c r="B11" s="371"/>
      <c r="C11" s="333"/>
      <c r="D11" s="333"/>
      <c r="E11" s="333"/>
      <c r="F11" s="283"/>
    </row>
    <row r="12" spans="1:6" ht="12.75" customHeight="1" x14ac:dyDescent="0.25">
      <c r="A12" s="314"/>
      <c r="B12" s="371"/>
      <c r="C12" s="333"/>
      <c r="D12" s="333"/>
      <c r="E12" s="333"/>
      <c r="F12" s="283"/>
    </row>
    <row r="13" spans="1:6" ht="12.75" customHeight="1" x14ac:dyDescent="0.25">
      <c r="A13" s="314"/>
      <c r="B13" s="371"/>
      <c r="C13" s="333"/>
      <c r="D13" s="333"/>
      <c r="E13" s="333"/>
      <c r="F13" s="283"/>
    </row>
    <row r="14" spans="1:6" ht="12.75" customHeight="1" x14ac:dyDescent="0.25">
      <c r="A14" s="314"/>
      <c r="B14" s="371"/>
      <c r="C14" s="333"/>
      <c r="D14" s="333"/>
      <c r="E14" s="333"/>
      <c r="F14" s="283"/>
    </row>
    <row r="15" spans="1:6" ht="12.75" customHeight="1" x14ac:dyDescent="0.25">
      <c r="A15" s="314"/>
      <c r="B15" s="371"/>
      <c r="C15" s="333"/>
      <c r="D15" s="333"/>
      <c r="E15" s="333"/>
      <c r="F15" s="283"/>
    </row>
    <row r="16" spans="1:6" ht="12.75" customHeight="1" x14ac:dyDescent="0.25">
      <c r="A16" s="314"/>
      <c r="B16" s="371"/>
      <c r="C16" s="333"/>
      <c r="D16" s="333"/>
      <c r="E16" s="333"/>
      <c r="F16" s="283"/>
    </row>
    <row r="17" spans="1:12" ht="12.75" customHeight="1" x14ac:dyDescent="0.25">
      <c r="A17" s="314"/>
      <c r="B17" s="371"/>
      <c r="C17" s="333"/>
      <c r="D17" s="333"/>
      <c r="E17" s="333"/>
      <c r="F17" s="283"/>
    </row>
    <row r="18" spans="1:12" ht="12.75" customHeight="1" x14ac:dyDescent="0.25">
      <c r="A18" s="314"/>
      <c r="B18" s="371"/>
      <c r="C18" s="333"/>
      <c r="D18" s="333"/>
      <c r="E18" s="333"/>
      <c r="F18" s="283"/>
    </row>
    <row r="19" spans="1:12" ht="12.75" customHeight="1" x14ac:dyDescent="0.25">
      <c r="A19" s="314"/>
      <c r="B19" s="371"/>
      <c r="C19" s="333"/>
      <c r="D19" s="333"/>
      <c r="E19" s="333"/>
      <c r="F19" s="283"/>
    </row>
    <row r="20" spans="1:12" ht="12.75" customHeight="1" x14ac:dyDescent="0.25">
      <c r="A20" s="314"/>
      <c r="B20" s="371"/>
      <c r="C20" s="333"/>
      <c r="D20" s="333"/>
      <c r="E20" s="333"/>
      <c r="F20" s="283"/>
    </row>
    <row r="21" spans="1:12" ht="12.75" customHeight="1" x14ac:dyDescent="0.25">
      <c r="A21" s="314"/>
      <c r="B21" s="371"/>
      <c r="C21" s="333"/>
      <c r="D21" s="333"/>
      <c r="E21" s="333"/>
      <c r="F21" s="283"/>
    </row>
    <row r="22" spans="1:12" ht="12.75" customHeight="1" x14ac:dyDescent="0.25">
      <c r="A22" s="314"/>
      <c r="B22" s="371"/>
      <c r="C22" s="333"/>
      <c r="D22" s="333"/>
      <c r="E22" s="333"/>
      <c r="F22" s="283"/>
    </row>
    <row r="23" spans="1:12" ht="12.75" customHeight="1" x14ac:dyDescent="0.25">
      <c r="A23" s="314"/>
      <c r="B23" s="371"/>
      <c r="C23" s="333"/>
      <c r="D23" s="333"/>
      <c r="E23" s="333"/>
      <c r="F23" s="283"/>
    </row>
    <row r="24" spans="1:12" ht="12.75" customHeight="1" x14ac:dyDescent="0.25">
      <c r="A24" s="32"/>
      <c r="B24" s="372"/>
      <c r="C24" s="604"/>
      <c r="D24" s="604"/>
      <c r="E24" s="604"/>
      <c r="F24" s="135">
        <f>SUM(F5:F23)</f>
        <v>403000</v>
      </c>
    </row>
    <row r="25" spans="1:12" ht="12.75" customHeight="1" x14ac:dyDescent="0.25">
      <c r="A25" s="35" t="str">
        <f>head27a</f>
        <v>References</v>
      </c>
      <c r="B25" s="36"/>
      <c r="C25" s="52"/>
      <c r="D25" s="52"/>
      <c r="E25" s="52"/>
      <c r="F25" s="52"/>
      <c r="J25" s="42"/>
      <c r="K25" s="42"/>
      <c r="L25" s="42"/>
    </row>
    <row r="26" spans="1:12" ht="12.75" customHeight="1" x14ac:dyDescent="0.25">
      <c r="A26" s="47" t="s">
        <v>301</v>
      </c>
      <c r="B26" s="36"/>
      <c r="C26" s="39"/>
      <c r="D26" s="38"/>
      <c r="E26" s="39"/>
      <c r="F26" s="39"/>
    </row>
    <row r="27" spans="1:12" ht="12.75" customHeight="1" x14ac:dyDescent="0.25">
      <c r="A27" s="47" t="s">
        <v>303</v>
      </c>
      <c r="B27" s="36"/>
      <c r="C27" s="52"/>
      <c r="D27" s="52"/>
      <c r="E27" s="52"/>
      <c r="F27" s="52"/>
    </row>
    <row r="28" spans="1:12" ht="11.25" customHeight="1" x14ac:dyDescent="0.25"/>
    <row r="29" spans="1:12" ht="11.25" customHeight="1" x14ac:dyDescent="0.25"/>
    <row r="30" spans="1:12" ht="11.25" customHeight="1" x14ac:dyDescent="0.25"/>
    <row r="31" spans="1:12" ht="11.25" customHeight="1" x14ac:dyDescent="0.25"/>
    <row r="32" spans="1:12" ht="11.25" customHeight="1" x14ac:dyDescent="0.25"/>
    <row r="33" ht="11.25" customHeight="1" x14ac:dyDescent="0.25"/>
    <row r="34" ht="11.25" customHeight="1" x14ac:dyDescent="0.25"/>
    <row r="35" ht="11.25" customHeight="1" x14ac:dyDescent="0.25"/>
    <row r="36" ht="11.25" customHeight="1" x14ac:dyDescent="0.25"/>
    <row r="37" ht="11.25" customHeight="1" x14ac:dyDescent="0.25"/>
    <row r="38" ht="11.25" customHeight="1" x14ac:dyDescent="0.25"/>
    <row r="39" ht="11.25" customHeight="1" x14ac:dyDescent="0.25"/>
    <row r="40" ht="11.25" customHeight="1" x14ac:dyDescent="0.25"/>
    <row r="41" ht="11.25" customHeight="1" x14ac:dyDescent="0.25"/>
    <row r="42" ht="11.25" customHeight="1" x14ac:dyDescent="0.25"/>
    <row r="43" ht="11.25" customHeight="1" x14ac:dyDescent="0.25"/>
    <row r="44" ht="11.25" customHeight="1" x14ac:dyDescent="0.25"/>
    <row r="45" ht="11.25" customHeight="1" x14ac:dyDescent="0.25"/>
    <row r="46" ht="11.25" customHeight="1" x14ac:dyDescent="0.25"/>
    <row r="47" ht="11.25" customHeight="1" x14ac:dyDescent="0.25"/>
    <row r="48" ht="11.25" customHeight="1" x14ac:dyDescent="0.25"/>
    <row r="49" ht="11.25" customHeight="1" x14ac:dyDescent="0.25"/>
    <row r="50" ht="11.25" customHeight="1" x14ac:dyDescent="0.25"/>
    <row r="51" ht="11.25" customHeight="1" x14ac:dyDescent="0.25"/>
    <row r="52" ht="11.25" customHeight="1" x14ac:dyDescent="0.25"/>
    <row r="53" ht="11.25" customHeight="1" x14ac:dyDescent="0.25"/>
    <row r="54" ht="11.25" customHeight="1" x14ac:dyDescent="0.25"/>
    <row r="55" ht="11.25" customHeight="1" x14ac:dyDescent="0.25"/>
    <row r="56" ht="11.25" customHeight="1" x14ac:dyDescent="0.25"/>
    <row r="57" ht="11.25" customHeight="1" x14ac:dyDescent="0.25"/>
    <row r="58" ht="11.25" customHeight="1" x14ac:dyDescent="0.25"/>
    <row r="59" ht="11.25" customHeight="1" x14ac:dyDescent="0.25"/>
    <row r="60" ht="11.25" customHeight="1" x14ac:dyDescent="0.25"/>
    <row r="61" ht="11.25" customHeight="1" x14ac:dyDescent="0.25"/>
  </sheetData>
  <sheetProtection sheet="1" objects="1" scenarios="1"/>
  <mergeCells count="3">
    <mergeCell ref="E2:E4"/>
    <mergeCell ref="F2:F4"/>
    <mergeCell ref="B2:B3"/>
  </mergeCells>
  <phoneticPr fontId="2" type="noConversion"/>
  <printOptions horizontalCentered="1"/>
  <pageMargins left="0.37" right="0.14000000000000001" top="0.79" bottom="0.6" header="0.51181102362204722" footer="0.51"/>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election activeCell="G21" sqref="G21"/>
    </sheetView>
  </sheetViews>
  <sheetFormatPr defaultRowHeight="12.75" x14ac:dyDescent="0.2"/>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0">
    <tabColor indexed="40"/>
    <pageSetUpPr fitToPage="1"/>
  </sheetPr>
  <dimension ref="A1:N102"/>
  <sheetViews>
    <sheetView workbookViewId="0">
      <pane ySplit="1" topLeftCell="A2" activePane="bottomLeft" state="frozen"/>
      <selection pane="bottomLeft" sqref="A1:D1"/>
    </sheetView>
  </sheetViews>
  <sheetFormatPr defaultRowHeight="11.25" x14ac:dyDescent="0.2"/>
  <cols>
    <col min="1" max="1" width="10.7109375" style="6" customWidth="1"/>
    <col min="2" max="2" width="68.7109375" style="1" bestFit="1" customWidth="1"/>
    <col min="3" max="3" width="28.85546875" style="1" bestFit="1" customWidth="1"/>
    <col min="4" max="4" width="16.140625" style="1" customWidth="1"/>
    <col min="5" max="8" width="9.140625" style="6"/>
    <col min="9" max="16384" width="9.140625" style="1"/>
  </cols>
  <sheetData>
    <row r="1" spans="1:4" x14ac:dyDescent="0.2">
      <c r="A1" s="615" t="s">
        <v>200</v>
      </c>
      <c r="B1" s="616"/>
      <c r="C1" s="616"/>
      <c r="D1" s="617"/>
    </row>
    <row r="2" spans="1:4" x14ac:dyDescent="0.2">
      <c r="A2" s="10" t="s">
        <v>420</v>
      </c>
      <c r="B2" s="580" t="str">
        <f>HLOOKUP(MTREF,Headings,2)</f>
        <v>2014/15</v>
      </c>
      <c r="C2" s="581" t="s">
        <v>568</v>
      </c>
      <c r="D2" s="576"/>
    </row>
    <row r="3" spans="1:4" x14ac:dyDescent="0.2">
      <c r="A3" s="2" t="s">
        <v>141</v>
      </c>
      <c r="B3" s="582" t="str">
        <f>HLOOKUP(MTREF,Headings,3)</f>
        <v>2013/14</v>
      </c>
      <c r="C3" s="583" t="s">
        <v>569</v>
      </c>
      <c r="D3" s="577"/>
    </row>
    <row r="4" spans="1:4" x14ac:dyDescent="0.2">
      <c r="A4" s="2" t="s">
        <v>215</v>
      </c>
      <c r="B4" s="582" t="str">
        <f>HLOOKUP(MTREF,Headings,4)</f>
        <v>2012/13</v>
      </c>
      <c r="C4" s="583" t="s">
        <v>570</v>
      </c>
      <c r="D4" s="577"/>
    </row>
    <row r="5" spans="1:4" x14ac:dyDescent="0.2">
      <c r="A5" s="2" t="s">
        <v>439</v>
      </c>
      <c r="B5" s="583" t="str">
        <f>HLOOKUP(MTREF,Headings,5)</f>
        <v>Current Year 2015/16</v>
      </c>
      <c r="C5" s="583" t="s">
        <v>571</v>
      </c>
      <c r="D5" s="577"/>
    </row>
    <row r="6" spans="1:4" x14ac:dyDescent="0.2">
      <c r="A6" s="2" t="s">
        <v>243</v>
      </c>
      <c r="B6" s="582" t="str">
        <f>HLOOKUP(MTREF,Headings,6)</f>
        <v>2015/16</v>
      </c>
      <c r="C6" s="583" t="s">
        <v>571</v>
      </c>
      <c r="D6" s="577"/>
    </row>
    <row r="7" spans="1:4" x14ac:dyDescent="0.2">
      <c r="A7" s="2" t="s">
        <v>440</v>
      </c>
      <c r="B7" s="583" t="str">
        <f>HLOOKUP(MTREF,Headings,7)</f>
        <v>2016/17 Medium Term Revenue &amp; Expenditure Framework</v>
      </c>
      <c r="C7" s="583" t="s">
        <v>572</v>
      </c>
      <c r="D7" s="577"/>
    </row>
    <row r="8" spans="1:4" x14ac:dyDescent="0.2">
      <c r="A8" s="2" t="s">
        <v>494</v>
      </c>
      <c r="B8" s="4" t="s">
        <v>367</v>
      </c>
      <c r="C8" s="4"/>
      <c r="D8" s="8"/>
    </row>
    <row r="9" spans="1:4" x14ac:dyDescent="0.2">
      <c r="A9" s="2" t="s">
        <v>441</v>
      </c>
      <c r="B9" s="4" t="s">
        <v>165</v>
      </c>
      <c r="C9" s="4"/>
      <c r="D9" s="8"/>
    </row>
    <row r="10" spans="1:4" x14ac:dyDescent="0.2">
      <c r="A10" s="2" t="s">
        <v>442</v>
      </c>
      <c r="B10" s="4" t="s">
        <v>95</v>
      </c>
      <c r="C10" s="4"/>
      <c r="D10" s="8"/>
    </row>
    <row r="11" spans="1:4" x14ac:dyDescent="0.2">
      <c r="A11" s="2" t="s">
        <v>115</v>
      </c>
      <c r="B11" s="4" t="s">
        <v>116</v>
      </c>
      <c r="C11" s="4"/>
      <c r="D11" s="8"/>
    </row>
    <row r="12" spans="1:4" x14ac:dyDescent="0.2">
      <c r="A12" s="2" t="s">
        <v>489</v>
      </c>
      <c r="B12" s="4" t="s">
        <v>490</v>
      </c>
      <c r="C12" s="4"/>
      <c r="D12" s="8"/>
    </row>
    <row r="13" spans="1:4" x14ac:dyDescent="0.2">
      <c r="A13" s="2" t="s">
        <v>443</v>
      </c>
      <c r="B13" s="4" t="s">
        <v>171</v>
      </c>
      <c r="C13" s="4"/>
      <c r="D13" s="8"/>
    </row>
    <row r="14" spans="1:4" x14ac:dyDescent="0.2">
      <c r="A14" s="2" t="s">
        <v>444</v>
      </c>
      <c r="B14" s="4" t="s">
        <v>368</v>
      </c>
      <c r="C14" s="4"/>
      <c r="D14" s="8"/>
    </row>
    <row r="15" spans="1:4" x14ac:dyDescent="0.2">
      <c r="A15" s="2" t="s">
        <v>445</v>
      </c>
      <c r="B15" s="4" t="s">
        <v>369</v>
      </c>
      <c r="C15" s="4"/>
      <c r="D15" s="8"/>
    </row>
    <row r="16" spans="1:4" x14ac:dyDescent="0.2">
      <c r="A16" s="2" t="s">
        <v>446</v>
      </c>
      <c r="B16" s="583" t="str">
        <f>HLOOKUP(MTREF,Headings,8)</f>
        <v>Budget Year 2016/17</v>
      </c>
      <c r="C16" s="583" t="s">
        <v>573</v>
      </c>
      <c r="D16" s="13" t="s">
        <v>255</v>
      </c>
    </row>
    <row r="17" spans="1:4" x14ac:dyDescent="0.2">
      <c r="A17" s="2" t="s">
        <v>447</v>
      </c>
      <c r="B17" s="583" t="str">
        <f>HLOOKUP(MTREF,Headings,9)</f>
        <v>Budget Year +1 2017/18</v>
      </c>
      <c r="C17" s="583" t="s">
        <v>574</v>
      </c>
      <c r="D17" s="13" t="s">
        <v>256</v>
      </c>
    </row>
    <row r="18" spans="1:4" x14ac:dyDescent="0.2">
      <c r="A18" s="2" t="s">
        <v>449</v>
      </c>
      <c r="B18" s="583" t="str">
        <f>HLOOKUP(MTREF,Headings,10)</f>
        <v>Budget Year +2 2018/19</v>
      </c>
      <c r="C18" s="583" t="s">
        <v>575</v>
      </c>
      <c r="D18" s="13" t="s">
        <v>257</v>
      </c>
    </row>
    <row r="19" spans="1:4" x14ac:dyDescent="0.2">
      <c r="A19" s="2" t="s">
        <v>450</v>
      </c>
      <c r="B19" s="583" t="str">
        <f>HLOOKUP(MTREF,Headings,11)</f>
        <v>Forecast 2019/20</v>
      </c>
      <c r="C19" s="583" t="s">
        <v>576</v>
      </c>
      <c r="D19" s="13" t="s">
        <v>258</v>
      </c>
    </row>
    <row r="20" spans="1:4" x14ac:dyDescent="0.2">
      <c r="A20" s="2" t="s">
        <v>451</v>
      </c>
      <c r="B20" s="583" t="str">
        <f>HLOOKUP(MTREF,Headings,12)</f>
        <v>Forecast 2020/21</v>
      </c>
      <c r="C20" s="583" t="s">
        <v>577</v>
      </c>
      <c r="D20" s="13" t="s">
        <v>259</v>
      </c>
    </row>
    <row r="21" spans="1:4" x14ac:dyDescent="0.2">
      <c r="A21" s="2" t="s">
        <v>452</v>
      </c>
      <c r="B21" s="583" t="str">
        <f>HLOOKUP(MTREF,Headings,13)</f>
        <v>Forecast 2021/22</v>
      </c>
      <c r="C21" s="583" t="s">
        <v>577</v>
      </c>
      <c r="D21" s="13" t="s">
        <v>260</v>
      </c>
    </row>
    <row r="22" spans="1:4" x14ac:dyDescent="0.2">
      <c r="A22" s="2" t="s">
        <v>453</v>
      </c>
      <c r="B22" s="583" t="str">
        <f>HLOOKUP(MTREF,Headings,14)</f>
        <v>Forecast 2022/23</v>
      </c>
      <c r="C22" s="583" t="s">
        <v>577</v>
      </c>
      <c r="D22" s="13" t="s">
        <v>261</v>
      </c>
    </row>
    <row r="23" spans="1:4" x14ac:dyDescent="0.2">
      <c r="A23" s="2" t="s">
        <v>454</v>
      </c>
      <c r="B23" s="583" t="str">
        <f>HLOOKUP(MTREF,Headings,15)</f>
        <v>Forecast 2023/24</v>
      </c>
      <c r="C23" s="583" t="s">
        <v>577</v>
      </c>
      <c r="D23" s="13" t="s">
        <v>262</v>
      </c>
    </row>
    <row r="24" spans="1:4" x14ac:dyDescent="0.2">
      <c r="A24" s="2" t="s">
        <v>455</v>
      </c>
      <c r="B24" s="583" t="str">
        <f>HLOOKUP(MTREF,Headings,16)</f>
        <v>Forecast 2024/25</v>
      </c>
      <c r="C24" s="583" t="s">
        <v>577</v>
      </c>
      <c r="D24" s="13" t="s">
        <v>263</v>
      </c>
    </row>
    <row r="25" spans="1:4" x14ac:dyDescent="0.2">
      <c r="A25" s="2" t="s">
        <v>456</v>
      </c>
      <c r="B25" s="583" t="str">
        <f>HLOOKUP(MTREF,Headings,17)</f>
        <v>Forecast 2025/26</v>
      </c>
      <c r="C25" s="583" t="s">
        <v>577</v>
      </c>
      <c r="D25" s="13" t="s">
        <v>180</v>
      </c>
    </row>
    <row r="26" spans="1:4" x14ac:dyDescent="0.2">
      <c r="A26" s="2" t="s">
        <v>457</v>
      </c>
      <c r="B26" s="583" t="str">
        <f>HLOOKUP(MTREF,Headings,18)</f>
        <v>Forecast 2026/27</v>
      </c>
      <c r="C26" s="583" t="s">
        <v>577</v>
      </c>
      <c r="D26" s="13" t="s">
        <v>54</v>
      </c>
    </row>
    <row r="27" spans="1:4" x14ac:dyDescent="0.2">
      <c r="A27" s="2" t="s">
        <v>458</v>
      </c>
      <c r="B27" s="583" t="str">
        <f>HLOOKUP(MTREF,Headings,19)</f>
        <v>Forecast 2027/28</v>
      </c>
      <c r="C27" s="583" t="s">
        <v>577</v>
      </c>
      <c r="D27" s="13" t="s">
        <v>55</v>
      </c>
    </row>
    <row r="28" spans="1:4" x14ac:dyDescent="0.2">
      <c r="A28" s="2" t="s">
        <v>459</v>
      </c>
      <c r="B28" s="583" t="str">
        <f>HLOOKUP(MTREF,Headings,20)</f>
        <v>Forecast 2028/29</v>
      </c>
      <c r="C28" s="583" t="s">
        <v>577</v>
      </c>
      <c r="D28" s="13" t="s">
        <v>56</v>
      </c>
    </row>
    <row r="29" spans="1:4" x14ac:dyDescent="0.2">
      <c r="A29" s="2" t="s">
        <v>460</v>
      </c>
      <c r="B29" s="583" t="str">
        <f>HLOOKUP(MTREF,Headings,21)</f>
        <v>Forecast 2029/30</v>
      </c>
      <c r="C29" s="583" t="s">
        <v>577</v>
      </c>
      <c r="D29" s="13" t="s">
        <v>57</v>
      </c>
    </row>
    <row r="30" spans="1:4" x14ac:dyDescent="0.2">
      <c r="A30" s="2" t="s">
        <v>461</v>
      </c>
      <c r="B30" s="583" t="str">
        <f>HLOOKUP(MTREF,Headings,22)</f>
        <v>Forecast 2030/31</v>
      </c>
      <c r="C30" s="583" t="s">
        <v>577</v>
      </c>
      <c r="D30" s="13" t="s">
        <v>58</v>
      </c>
    </row>
    <row r="31" spans="1:4" x14ac:dyDescent="0.2">
      <c r="A31" s="2" t="s">
        <v>182</v>
      </c>
      <c r="B31" s="4" t="s">
        <v>233</v>
      </c>
      <c r="C31" s="4"/>
      <c r="D31" s="13" t="s">
        <v>183</v>
      </c>
    </row>
    <row r="32" spans="1:4" x14ac:dyDescent="0.2">
      <c r="A32" s="2" t="s">
        <v>112</v>
      </c>
      <c r="B32" s="4" t="s">
        <v>7</v>
      </c>
      <c r="C32" s="4"/>
      <c r="D32" s="13" t="s">
        <v>113</v>
      </c>
    </row>
    <row r="33" spans="1:4" x14ac:dyDescent="0.2">
      <c r="A33" s="2" t="s">
        <v>216</v>
      </c>
      <c r="B33" s="4" t="s">
        <v>217</v>
      </c>
      <c r="C33" s="4"/>
      <c r="D33" s="13" t="s">
        <v>218</v>
      </c>
    </row>
    <row r="34" spans="1:4" x14ac:dyDescent="0.2">
      <c r="A34" s="2" t="s">
        <v>219</v>
      </c>
      <c r="B34" s="4" t="s">
        <v>131</v>
      </c>
      <c r="C34" s="4"/>
      <c r="D34" s="13"/>
    </row>
    <row r="35" spans="1:4" x14ac:dyDescent="0.2">
      <c r="A35" s="2" t="s">
        <v>203</v>
      </c>
      <c r="B35" s="4" t="s">
        <v>204</v>
      </c>
      <c r="C35" s="4"/>
      <c r="D35" s="13"/>
    </row>
    <row r="36" spans="1:4" x14ac:dyDescent="0.2">
      <c r="A36" s="2" t="s">
        <v>127</v>
      </c>
      <c r="B36" s="4" t="s">
        <v>411</v>
      </c>
      <c r="C36" s="4"/>
      <c r="D36" s="13" t="s">
        <v>128</v>
      </c>
    </row>
    <row r="37" spans="1:4" x14ac:dyDescent="0.2">
      <c r="A37" s="2" t="s">
        <v>309</v>
      </c>
      <c r="B37" s="583" t="str">
        <f>HLOOKUP(MTREF,Headings,23)</f>
        <v>Annual target 2016/17</v>
      </c>
      <c r="C37" s="4"/>
      <c r="D37" s="13"/>
    </row>
    <row r="38" spans="1:4" x14ac:dyDescent="0.2">
      <c r="A38" s="2" t="s">
        <v>310</v>
      </c>
      <c r="B38" s="583" t="str">
        <f>HLOOKUP(MTREF,Headings,24)</f>
        <v>Revised target 2016/17</v>
      </c>
      <c r="C38" s="4"/>
      <c r="D38" s="13"/>
    </row>
    <row r="39" spans="1:4" x14ac:dyDescent="0.2">
      <c r="A39" s="2" t="s">
        <v>311</v>
      </c>
      <c r="B39" s="4" t="s">
        <v>98</v>
      </c>
      <c r="C39" s="4"/>
      <c r="D39" s="13"/>
    </row>
    <row r="40" spans="1:4" x14ac:dyDescent="0.2">
      <c r="A40" s="2" t="s">
        <v>312</v>
      </c>
      <c r="B40" s="4" t="s">
        <v>173</v>
      </c>
      <c r="C40" s="4"/>
      <c r="D40" s="13"/>
    </row>
    <row r="41" spans="1:4" x14ac:dyDescent="0.2">
      <c r="A41" s="2" t="s">
        <v>313</v>
      </c>
      <c r="B41" s="4" t="s">
        <v>174</v>
      </c>
      <c r="C41" s="4"/>
      <c r="D41" s="13"/>
    </row>
    <row r="42" spans="1:4" x14ac:dyDescent="0.2">
      <c r="A42" s="2" t="s">
        <v>314</v>
      </c>
      <c r="B42" s="4" t="s">
        <v>96</v>
      </c>
      <c r="C42" s="4"/>
      <c r="D42" s="13"/>
    </row>
    <row r="43" spans="1:4" x14ac:dyDescent="0.2">
      <c r="A43" s="2" t="s">
        <v>97</v>
      </c>
      <c r="B43" s="4" t="s">
        <v>146</v>
      </c>
      <c r="C43" s="4"/>
      <c r="D43" s="13"/>
    </row>
    <row r="44" spans="1:4" x14ac:dyDescent="0.2">
      <c r="A44" s="2" t="s">
        <v>288</v>
      </c>
      <c r="B44" s="4" t="s">
        <v>235</v>
      </c>
      <c r="C44" s="4"/>
      <c r="D44" s="13"/>
    </row>
    <row r="45" spans="1:4" x14ac:dyDescent="0.2">
      <c r="A45" s="2" t="s">
        <v>289</v>
      </c>
      <c r="B45" s="4" t="s">
        <v>236</v>
      </c>
      <c r="C45" s="4"/>
      <c r="D45" s="13"/>
    </row>
    <row r="46" spans="1:4" x14ac:dyDescent="0.2">
      <c r="A46" s="2" t="s">
        <v>290</v>
      </c>
      <c r="B46" s="4" t="s">
        <v>295</v>
      </c>
      <c r="C46" s="4"/>
      <c r="D46" s="13"/>
    </row>
    <row r="47" spans="1:4" x14ac:dyDescent="0.2">
      <c r="A47" s="2" t="s">
        <v>294</v>
      </c>
      <c r="B47" s="4" t="s">
        <v>275</v>
      </c>
      <c r="C47" s="4"/>
      <c r="D47" s="13"/>
    </row>
    <row r="48" spans="1:4" x14ac:dyDescent="0.2">
      <c r="A48" s="2" t="s">
        <v>83</v>
      </c>
      <c r="B48" s="7" t="s">
        <v>276</v>
      </c>
      <c r="C48" s="4"/>
      <c r="D48" s="13"/>
    </row>
    <row r="49" spans="1:4" x14ac:dyDescent="0.2">
      <c r="A49" s="2" t="s">
        <v>84</v>
      </c>
      <c r="B49" s="7" t="s">
        <v>327</v>
      </c>
      <c r="C49" s="4"/>
      <c r="D49" s="13"/>
    </row>
    <row r="50" spans="1:4" x14ac:dyDescent="0.2">
      <c r="A50" s="2" t="s">
        <v>85</v>
      </c>
      <c r="B50" s="7" t="s">
        <v>50</v>
      </c>
      <c r="C50" s="4"/>
      <c r="D50" s="13"/>
    </row>
    <row r="51" spans="1:4" x14ac:dyDescent="0.2">
      <c r="A51" s="2" t="s">
        <v>326</v>
      </c>
      <c r="B51" s="7" t="str">
        <f>Head3&amp;" Summary"</f>
        <v>2016/17 Medium Term Revenue &amp; Expenditure Framework Summary</v>
      </c>
      <c r="C51" s="4"/>
      <c r="D51" s="13"/>
    </row>
    <row r="52" spans="1:4" x14ac:dyDescent="0.2">
      <c r="A52" s="2" t="s">
        <v>175</v>
      </c>
      <c r="B52" s="7" t="s">
        <v>178</v>
      </c>
      <c r="C52" s="4"/>
      <c r="D52" s="13"/>
    </row>
    <row r="53" spans="1:4" x14ac:dyDescent="0.2">
      <c r="A53" s="2" t="s">
        <v>176</v>
      </c>
      <c r="B53" s="7" t="s">
        <v>177</v>
      </c>
      <c r="C53" s="4"/>
      <c r="D53" s="13"/>
    </row>
    <row r="54" spans="1:4" x14ac:dyDescent="0.2">
      <c r="A54" s="2" t="s">
        <v>435</v>
      </c>
      <c r="B54" s="15" t="s">
        <v>39</v>
      </c>
      <c r="C54" s="16"/>
      <c r="D54" s="13"/>
    </row>
    <row r="55" spans="1:4" x14ac:dyDescent="0.2">
      <c r="A55" s="2" t="s">
        <v>202</v>
      </c>
      <c r="B55" s="7" t="s">
        <v>185</v>
      </c>
      <c r="C55" s="4"/>
      <c r="D55" s="13"/>
    </row>
    <row r="56" spans="1:4" x14ac:dyDescent="0.2">
      <c r="A56" s="2" t="s">
        <v>135</v>
      </c>
      <c r="B56" s="7" t="s">
        <v>10</v>
      </c>
      <c r="C56" s="4"/>
      <c r="D56" s="13"/>
    </row>
    <row r="57" spans="1:4" x14ac:dyDescent="0.2">
      <c r="A57" s="2" t="s">
        <v>189</v>
      </c>
      <c r="B57" s="7" t="s">
        <v>191</v>
      </c>
      <c r="C57" s="4"/>
      <c r="D57" s="13"/>
    </row>
    <row r="58" spans="1:4" x14ac:dyDescent="0.2">
      <c r="A58" s="2" t="s">
        <v>190</v>
      </c>
      <c r="B58" s="7" t="s">
        <v>362</v>
      </c>
      <c r="C58" s="4"/>
      <c r="D58" s="13"/>
    </row>
    <row r="59" spans="1:4" x14ac:dyDescent="0.2">
      <c r="A59" s="2" t="s">
        <v>357</v>
      </c>
      <c r="B59" s="7" t="s">
        <v>361</v>
      </c>
      <c r="C59" s="4"/>
      <c r="D59" s="13"/>
    </row>
    <row r="60" spans="1:4" x14ac:dyDescent="0.2">
      <c r="A60" s="2" t="s">
        <v>358</v>
      </c>
      <c r="B60" s="7" t="s">
        <v>37</v>
      </c>
      <c r="C60" s="4"/>
      <c r="D60" s="13"/>
    </row>
    <row r="61" spans="1:4" x14ac:dyDescent="0.2">
      <c r="A61" s="2" t="s">
        <v>359</v>
      </c>
      <c r="B61" s="7" t="s">
        <v>363</v>
      </c>
      <c r="C61" s="4"/>
      <c r="D61" s="13"/>
    </row>
    <row r="62" spans="1:4" x14ac:dyDescent="0.2">
      <c r="A62" s="2" t="s">
        <v>360</v>
      </c>
      <c r="B62" s="7" t="s">
        <v>485</v>
      </c>
      <c r="C62" s="4"/>
      <c r="D62" s="13"/>
    </row>
    <row r="63" spans="1:4" x14ac:dyDescent="0.2">
      <c r="A63" s="2" t="s">
        <v>221</v>
      </c>
      <c r="B63" s="7" t="s">
        <v>36</v>
      </c>
      <c r="C63" s="4"/>
      <c r="D63" s="13"/>
    </row>
    <row r="64" spans="1:4" x14ac:dyDescent="0.2">
      <c r="A64" s="2" t="s">
        <v>335</v>
      </c>
      <c r="B64" s="7" t="s">
        <v>336</v>
      </c>
      <c r="C64" s="4"/>
      <c r="D64" s="13"/>
    </row>
    <row r="65" spans="1:14" x14ac:dyDescent="0.2">
      <c r="A65" s="2" t="s">
        <v>273</v>
      </c>
      <c r="B65" s="7" t="s">
        <v>274</v>
      </c>
      <c r="C65" s="4"/>
      <c r="D65" s="13"/>
    </row>
    <row r="66" spans="1:14" x14ac:dyDescent="0.2">
      <c r="A66" s="2" t="s">
        <v>491</v>
      </c>
      <c r="B66" s="7" t="s">
        <v>492</v>
      </c>
      <c r="C66" s="4"/>
      <c r="D66" s="13"/>
    </row>
    <row r="67" spans="1:14" x14ac:dyDescent="0.2">
      <c r="A67" s="2" t="s">
        <v>493</v>
      </c>
      <c r="B67" s="7" t="s">
        <v>184</v>
      </c>
      <c r="C67" s="4"/>
      <c r="D67" s="13"/>
    </row>
    <row r="68" spans="1:14" x14ac:dyDescent="0.2">
      <c r="A68" s="2" t="s">
        <v>388</v>
      </c>
      <c r="B68" s="7" t="s">
        <v>386</v>
      </c>
      <c r="C68" s="4"/>
      <c r="D68" s="13"/>
    </row>
    <row r="69" spans="1:14" x14ac:dyDescent="0.2">
      <c r="A69" s="2" t="s">
        <v>389</v>
      </c>
      <c r="B69" s="7" t="s">
        <v>387</v>
      </c>
      <c r="C69" s="4"/>
      <c r="D69" s="13"/>
    </row>
    <row r="70" spans="1:14" x14ac:dyDescent="0.2">
      <c r="A70" s="2" t="s">
        <v>390</v>
      </c>
      <c r="B70" s="7" t="s">
        <v>392</v>
      </c>
      <c r="C70" s="4"/>
      <c r="D70" s="13"/>
    </row>
    <row r="71" spans="1:14" x14ac:dyDescent="0.2">
      <c r="A71" s="2" t="s">
        <v>391</v>
      </c>
      <c r="B71" s="7" t="s">
        <v>211</v>
      </c>
      <c r="C71" s="4"/>
      <c r="D71" s="13"/>
    </row>
    <row r="72" spans="1:14" x14ac:dyDescent="0.2">
      <c r="A72" s="2" t="s">
        <v>212</v>
      </c>
      <c r="B72" s="7" t="s">
        <v>245</v>
      </c>
      <c r="C72" s="4"/>
      <c r="D72" s="13"/>
    </row>
    <row r="73" spans="1:14" x14ac:dyDescent="0.2">
      <c r="A73" s="2" t="s">
        <v>213</v>
      </c>
      <c r="B73" s="7" t="s">
        <v>246</v>
      </c>
      <c r="C73" s="4"/>
      <c r="D73" s="13"/>
    </row>
    <row r="74" spans="1:14" x14ac:dyDescent="0.2">
      <c r="A74" s="2" t="s">
        <v>248</v>
      </c>
      <c r="B74" s="7" t="s">
        <v>247</v>
      </c>
      <c r="C74" s="4"/>
      <c r="D74" s="13"/>
    </row>
    <row r="75" spans="1:14" ht="12.75" x14ac:dyDescent="0.2">
      <c r="A75" s="615" t="s">
        <v>297</v>
      </c>
      <c r="B75" s="616"/>
      <c r="C75" s="616"/>
      <c r="D75" s="617"/>
      <c r="E75"/>
      <c r="F75"/>
      <c r="G75"/>
      <c r="H75"/>
      <c r="I75"/>
      <c r="J75"/>
      <c r="K75"/>
      <c r="L75"/>
      <c r="M75"/>
      <c r="N75"/>
    </row>
    <row r="76" spans="1:14" ht="12.75" x14ac:dyDescent="0.2">
      <c r="A76" s="223" t="s">
        <v>214</v>
      </c>
      <c r="B76" s="221" t="s">
        <v>1017</v>
      </c>
      <c r="C76" s="221"/>
      <c r="D76" s="18"/>
      <c r="E76"/>
      <c r="F76"/>
      <c r="G76"/>
      <c r="H76"/>
      <c r="I76"/>
      <c r="J76"/>
      <c r="K76"/>
      <c r="L76"/>
      <c r="M76"/>
      <c r="N76"/>
    </row>
    <row r="77" spans="1:14" ht="12.75" x14ac:dyDescent="0.2">
      <c r="A77" s="12" t="s">
        <v>74</v>
      </c>
      <c r="B77" s="224"/>
      <c r="C77" s="224"/>
      <c r="D77" s="14"/>
      <c r="E77"/>
      <c r="F77"/>
      <c r="G77"/>
      <c r="H77"/>
      <c r="I77"/>
      <c r="J77"/>
      <c r="K77"/>
      <c r="L77"/>
      <c r="M77"/>
      <c r="N77"/>
    </row>
    <row r="78" spans="1:14" x14ac:dyDescent="0.2">
      <c r="A78" s="618" t="s">
        <v>208</v>
      </c>
      <c r="B78" s="619"/>
      <c r="C78" s="17"/>
      <c r="D78" s="17" t="s">
        <v>502</v>
      </c>
    </row>
    <row r="79" spans="1:14" x14ac:dyDescent="0.2">
      <c r="A79" s="11"/>
      <c r="B79" s="5" t="s">
        <v>293</v>
      </c>
      <c r="C79" s="5"/>
      <c r="D79" s="13"/>
    </row>
    <row r="80" spans="1:14" x14ac:dyDescent="0.2">
      <c r="A80" s="220" t="s">
        <v>223</v>
      </c>
      <c r="B80" s="221" t="str">
        <f>entity&amp;" - "&amp;D80&amp;"Budget Summary"</f>
        <v>Greater Tzaneen Economic Development Agency (GTEDA) - Table D1 Budget Summary</v>
      </c>
      <c r="C80" s="221"/>
      <c r="D80" s="18" t="s">
        <v>580</v>
      </c>
    </row>
    <row r="81" spans="1:4" x14ac:dyDescent="0.2">
      <c r="A81" s="11" t="s">
        <v>237</v>
      </c>
      <c r="B81" s="4" t="str">
        <f>entity&amp;" - "&amp;D81&amp;"Budgeted Financial Performance (revenue and expenditure)"</f>
        <v>Greater Tzaneen Economic Development Agency (GTEDA) - Table D2 Budgeted Financial Performance (revenue and expenditure)</v>
      </c>
      <c r="C81" s="4"/>
      <c r="D81" s="13" t="s">
        <v>581</v>
      </c>
    </row>
    <row r="82" spans="1:4" x14ac:dyDescent="0.2">
      <c r="A82" s="11" t="s">
        <v>496</v>
      </c>
      <c r="B82" s="4" t="s">
        <v>501</v>
      </c>
      <c r="C82" s="4"/>
      <c r="D82" s="13"/>
    </row>
    <row r="83" spans="1:4" x14ac:dyDescent="0.2">
      <c r="A83" s="11" t="s">
        <v>238</v>
      </c>
      <c r="B83" s="4" t="str">
        <f>entity&amp;" - "&amp;D83&amp;"Capital Budget by vote and funding"</f>
        <v>Greater Tzaneen Economic Development Agency (GTEDA) - Table D3 Capital Budget by vote and funding</v>
      </c>
      <c r="C83" s="4"/>
      <c r="D83" s="13" t="s">
        <v>582</v>
      </c>
    </row>
    <row r="84" spans="1:4" x14ac:dyDescent="0.2">
      <c r="A84" s="11" t="s">
        <v>239</v>
      </c>
      <c r="B84" s="4" t="str">
        <f>entity&amp;" - "&amp;D84&amp; "Budgeted Financial Position"</f>
        <v>Greater Tzaneen Economic Development Agency (GTEDA) - Table D4 Budgeted Financial Position</v>
      </c>
      <c r="C84" s="4"/>
      <c r="D84" s="13" t="s">
        <v>583</v>
      </c>
    </row>
    <row r="85" spans="1:4" x14ac:dyDescent="0.2">
      <c r="A85" s="12" t="s">
        <v>240</v>
      </c>
      <c r="B85" s="9" t="str">
        <f>entity&amp;" - "&amp;D85&amp; "Budgeted Cash Flow"</f>
        <v>Greater Tzaneen Economic Development Agency (GTEDA) - Table D5 Budgeted Cash Flow</v>
      </c>
      <c r="C85" s="9"/>
      <c r="D85" s="14" t="s">
        <v>584</v>
      </c>
    </row>
    <row r="86" spans="1:4" x14ac:dyDescent="0.2">
      <c r="A86" s="11" t="s">
        <v>242</v>
      </c>
      <c r="B86" s="4" t="str">
        <f>entity&amp;" - "&amp;D86&amp;"Measurable performance targets"</f>
        <v>Greater Tzaneen Economic Development Agency (GTEDA) - Supporting Table SD1 Measurable performance targets</v>
      </c>
      <c r="C86" s="4"/>
      <c r="D86" s="13" t="s">
        <v>675</v>
      </c>
    </row>
    <row r="87" spans="1:4" x14ac:dyDescent="0.2">
      <c r="A87" s="11" t="s">
        <v>268</v>
      </c>
      <c r="B87" s="4" t="str">
        <f>entity&amp;" - "&amp;D87&amp; " Financial and non-financial indicators"</f>
        <v>Greater Tzaneen Economic Development Agency (GTEDA) - Supporting Table SD2 Financial and non-financial indicators</v>
      </c>
      <c r="C87" s="4"/>
      <c r="D87" s="13" t="s">
        <v>676</v>
      </c>
    </row>
    <row r="88" spans="1:4" x14ac:dyDescent="0.2">
      <c r="A88" s="11" t="s">
        <v>241</v>
      </c>
      <c r="B88" s="4" t="str">
        <f>entity&amp;" - "&amp;D88&amp;" Budgeted Investment Portfolio"</f>
        <v>Greater Tzaneen Economic Development Agency (GTEDA) - Supporting Table SD3 Budgeted Investment Portfolio</v>
      </c>
      <c r="C88" s="4"/>
      <c r="D88" s="13" t="s">
        <v>677</v>
      </c>
    </row>
    <row r="89" spans="1:4" x14ac:dyDescent="0.2">
      <c r="A89" s="11" t="s">
        <v>970</v>
      </c>
      <c r="B89" s="4" t="str">
        <f>entity&amp;" - "&amp;D89&amp;" Board member allowances and staff benefits"</f>
        <v>Greater Tzaneen Economic Development Agency (GTEDA) - Supporting Table SD4 Board member allowances and staff benefits</v>
      </c>
      <c r="C89" s="4"/>
      <c r="D89" s="13" t="s">
        <v>678</v>
      </c>
    </row>
    <row r="90" spans="1:4" x14ac:dyDescent="0.2">
      <c r="A90" s="11" t="s">
        <v>971</v>
      </c>
      <c r="B90" s="4" t="str">
        <f>entity&amp;" - "&amp;D90&amp;" Summary of personnel numbers"</f>
        <v>Greater Tzaneen Economic Development Agency (GTEDA) - Supporting Table SD5 Summary of personnel numbers</v>
      </c>
      <c r="C90" s="4"/>
      <c r="D90" s="13" t="s">
        <v>679</v>
      </c>
    </row>
    <row r="91" spans="1:4" x14ac:dyDescent="0.2">
      <c r="A91" s="11" t="s">
        <v>409</v>
      </c>
      <c r="B91" s="4" t="str">
        <f>entity&amp;" - "&amp;D91&amp;" Budgeted monthly cash and revenue/expenditure"</f>
        <v>Greater Tzaneen Economic Development Agency (GTEDA) - Supporting Table SD6 Budgeted monthly cash and revenue/expenditure</v>
      </c>
      <c r="C91" s="4"/>
      <c r="D91" s="13" t="s">
        <v>680</v>
      </c>
    </row>
    <row r="92" spans="1:4" x14ac:dyDescent="0.2">
      <c r="A92" s="11" t="s">
        <v>972</v>
      </c>
      <c r="B92" s="4" t="str">
        <f>entity&amp;" - "&amp;D92&amp;" Capital expenditure on new assets by asset class"</f>
        <v>Greater Tzaneen Economic Development Agency (GTEDA) - Supporting Table SD7a Capital expenditure on new assets by asset class</v>
      </c>
      <c r="C92" s="4"/>
      <c r="D92" s="13" t="s">
        <v>977</v>
      </c>
    </row>
    <row r="93" spans="1:4" x14ac:dyDescent="0.2">
      <c r="A93" s="11" t="s">
        <v>973</v>
      </c>
      <c r="B93" s="4" t="str">
        <f>entity&amp;" - "&amp;D93&amp;" Capital expenditure on renewal of existing assets by asset class"</f>
        <v>Greater Tzaneen Economic Development Agency (GTEDA) - Supporting Table SD7b Capital expenditure on renewal of existing assets by asset class</v>
      </c>
      <c r="C93" s="4"/>
      <c r="D93" s="13" t="s">
        <v>978</v>
      </c>
    </row>
    <row r="94" spans="1:4" x14ac:dyDescent="0.2">
      <c r="A94" s="11" t="s">
        <v>974</v>
      </c>
      <c r="B94" s="4" t="str">
        <f>entity&amp;" - "&amp;D94&amp;" Expenditure on repairs and maintenance by asset class"</f>
        <v>Greater Tzaneen Economic Development Agency (GTEDA) - Supporting Table SD7c Expenditure on repairs and maintenance by asset class</v>
      </c>
      <c r="C94" s="4"/>
      <c r="D94" s="13" t="s">
        <v>979</v>
      </c>
    </row>
    <row r="95" spans="1:4" x14ac:dyDescent="0.2">
      <c r="A95" s="11" t="s">
        <v>975</v>
      </c>
      <c r="B95" s="4" t="str">
        <f>entity&amp;" - "&amp;D95&amp;" Future financial implications of the capital expenditure budget"</f>
        <v>Greater Tzaneen Economic Development Agency (GTEDA) - Supporting Table SD8 Future financial implications of the capital expenditure budget</v>
      </c>
      <c r="C95" s="4"/>
      <c r="D95" s="13" t="s">
        <v>980</v>
      </c>
    </row>
    <row r="96" spans="1:4" x14ac:dyDescent="0.2">
      <c r="A96" s="11" t="s">
        <v>976</v>
      </c>
      <c r="B96" s="4" t="str">
        <f>entity&amp;" - "&amp;D96&amp;" Detailed capital budget"</f>
        <v>Greater Tzaneen Economic Development Agency (GTEDA) - Supporting Table SD9 Detailed capital budget</v>
      </c>
      <c r="C96" s="4"/>
      <c r="D96" s="13" t="s">
        <v>681</v>
      </c>
    </row>
    <row r="97" spans="1:4" x14ac:dyDescent="0.2">
      <c r="A97" s="11" t="s">
        <v>464</v>
      </c>
      <c r="B97" s="4" t="str">
        <f>entity&amp;" - "&amp;D97&amp;" Long term contracts"</f>
        <v>Greater Tzaneen Economic Development Agency (GTEDA) - Supporting Table SD10 Long term contracts</v>
      </c>
      <c r="C97" s="4"/>
      <c r="D97" s="13" t="s">
        <v>682</v>
      </c>
    </row>
    <row r="98" spans="1:4" x14ac:dyDescent="0.2">
      <c r="A98" s="12" t="s">
        <v>465</v>
      </c>
      <c r="B98" s="9" t="str">
        <f>entity&amp;" - "&amp;D98&amp;" External mechanisms"</f>
        <v>Greater Tzaneen Economic Development Agency (GTEDA) - Supporting Table SD11 External mechanisms</v>
      </c>
      <c r="C98" s="9"/>
      <c r="D98" s="13" t="s">
        <v>683</v>
      </c>
    </row>
    <row r="99" spans="1:4" x14ac:dyDescent="0.2">
      <c r="A99" s="1"/>
    </row>
    <row r="100" spans="1:4" x14ac:dyDescent="0.2">
      <c r="A100" s="1"/>
    </row>
    <row r="101" spans="1:4" x14ac:dyDescent="0.2">
      <c r="A101" s="1"/>
    </row>
    <row r="102" spans="1:4" x14ac:dyDescent="0.2">
      <c r="D102" s="3"/>
    </row>
  </sheetData>
  <sheetProtection selectLockedCells="1"/>
  <mergeCells count="3">
    <mergeCell ref="A1:D1"/>
    <mergeCell ref="A75:D75"/>
    <mergeCell ref="A78:B78"/>
  </mergeCells>
  <phoneticPr fontId="2" type="noConversion"/>
  <printOptions horizontalCentered="1" verticalCentered="1"/>
  <pageMargins left="0.39370078740157483" right="0.15748031496062992" top="0.51181102362204722" bottom="0.55118110236220474" header="0.51181102362204722" footer="0.39370078740157483"/>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Button 1">
              <controlPr defaultSize="0" print="0" autoFill="0" autoPict="0" macro="[0]!SaveForUsers">
                <anchor moveWithCells="1" sizeWithCells="1">
                  <from>
                    <xdr:col>4</xdr:col>
                    <xdr:colOff>247650</xdr:colOff>
                    <xdr:row>2</xdr:row>
                    <xdr:rowOff>47625</xdr:rowOff>
                  </from>
                  <to>
                    <xdr:col>7</xdr:col>
                    <xdr:colOff>123825</xdr:colOff>
                    <xdr:row>4</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1"/>
  </sheetPr>
  <dimension ref="A1:U312"/>
  <sheetViews>
    <sheetView topLeftCell="A244" workbookViewId="0"/>
  </sheetViews>
  <sheetFormatPr defaultRowHeight="11.25" x14ac:dyDescent="0.2"/>
  <cols>
    <col min="1" max="1" width="28.85546875" style="1" bestFit="1" customWidth="1"/>
    <col min="2" max="4" width="41.85546875" style="1" bestFit="1" customWidth="1"/>
    <col min="5" max="14" width="41.85546875" style="1" customWidth="1"/>
    <col min="15" max="15" width="43.5703125" style="1" bestFit="1" customWidth="1"/>
    <col min="16" max="16" width="1.28515625" style="1" customWidth="1"/>
    <col min="17" max="17" width="9.140625" style="1"/>
    <col min="18" max="18" width="24.140625" style="1" bestFit="1" customWidth="1"/>
    <col min="19" max="19" width="17.5703125" style="1" bestFit="1" customWidth="1"/>
    <col min="20" max="20" width="22.5703125" style="1" bestFit="1" customWidth="1"/>
    <col min="21" max="21" width="14.7109375" style="1" bestFit="1" customWidth="1"/>
    <col min="22" max="16384" width="9.140625" style="1"/>
  </cols>
  <sheetData>
    <row r="1" spans="1:21" s="222" customFormat="1" x14ac:dyDescent="0.2">
      <c r="A1" s="336" t="s">
        <v>233</v>
      </c>
      <c r="B1" s="337">
        <v>2007</v>
      </c>
      <c r="C1" s="337">
        <v>2008</v>
      </c>
      <c r="D1" s="337">
        <v>2009</v>
      </c>
      <c r="E1" s="338">
        <v>2010</v>
      </c>
      <c r="F1" s="337">
        <v>2011</v>
      </c>
      <c r="G1" s="338">
        <v>2012</v>
      </c>
      <c r="H1" s="337">
        <v>2013</v>
      </c>
      <c r="I1" s="338">
        <v>2014</v>
      </c>
      <c r="J1" s="337">
        <v>2015</v>
      </c>
      <c r="K1" s="338">
        <v>2016</v>
      </c>
      <c r="L1" s="337">
        <v>2017</v>
      </c>
      <c r="M1" s="338">
        <v>2018</v>
      </c>
      <c r="N1" s="337">
        <v>2019</v>
      </c>
      <c r="O1" s="338">
        <v>2020</v>
      </c>
      <c r="P1" s="339"/>
      <c r="Q1" s="340" t="s">
        <v>523</v>
      </c>
      <c r="R1" s="340" t="s">
        <v>524</v>
      </c>
      <c r="S1" s="340" t="s">
        <v>525</v>
      </c>
      <c r="T1" s="340" t="s">
        <v>526</v>
      </c>
      <c r="U1" s="340" t="s">
        <v>527</v>
      </c>
    </row>
    <row r="2" spans="1:21" x14ac:dyDescent="0.2">
      <c r="A2" s="7" t="str">
        <f>'Template names'!C2</f>
        <v>Prior year -1</v>
      </c>
      <c r="B2" s="4" t="s">
        <v>528</v>
      </c>
      <c r="C2" s="4" t="s">
        <v>118</v>
      </c>
      <c r="D2" s="4" t="s">
        <v>529</v>
      </c>
      <c r="E2" s="341" t="str">
        <f t="shared" ref="E2:O2" si="0">E1-2&amp;"/"&amp;RIGHT(E1,2)-1</f>
        <v>2008/9</v>
      </c>
      <c r="F2" s="341" t="str">
        <f t="shared" si="0"/>
        <v>2009/10</v>
      </c>
      <c r="G2" s="341" t="str">
        <f t="shared" si="0"/>
        <v>2010/11</v>
      </c>
      <c r="H2" s="341" t="str">
        <f t="shared" si="0"/>
        <v>2011/12</v>
      </c>
      <c r="I2" s="341" t="str">
        <f t="shared" si="0"/>
        <v>2012/13</v>
      </c>
      <c r="J2" s="341" t="str">
        <f t="shared" si="0"/>
        <v>2013/14</v>
      </c>
      <c r="K2" s="341" t="str">
        <f t="shared" si="0"/>
        <v>2014/15</v>
      </c>
      <c r="L2" s="341" t="str">
        <f t="shared" si="0"/>
        <v>2015/16</v>
      </c>
      <c r="M2" s="341" t="str">
        <f t="shared" si="0"/>
        <v>2016/17</v>
      </c>
      <c r="N2" s="341" t="str">
        <f t="shared" si="0"/>
        <v>2017/18</v>
      </c>
      <c r="O2" s="341" t="str">
        <f t="shared" si="0"/>
        <v>2018/19</v>
      </c>
      <c r="P2" s="4"/>
      <c r="R2" s="1" t="s">
        <v>531</v>
      </c>
      <c r="S2" s="1" t="s">
        <v>532</v>
      </c>
      <c r="T2" s="1" t="s">
        <v>533</v>
      </c>
    </row>
    <row r="3" spans="1:21" x14ac:dyDescent="0.2">
      <c r="A3" s="7" t="str">
        <f>'Template names'!C3</f>
        <v>Prior year -2</v>
      </c>
      <c r="B3" s="4" t="s">
        <v>93</v>
      </c>
      <c r="C3" s="4" t="s">
        <v>528</v>
      </c>
      <c r="D3" s="4" t="s">
        <v>118</v>
      </c>
      <c r="E3" s="341" t="str">
        <f t="shared" ref="E3:O3" si="1">E1-3&amp;"/"&amp;RIGHT(E1,2)-2</f>
        <v>2007/8</v>
      </c>
      <c r="F3" s="341" t="str">
        <f t="shared" si="1"/>
        <v>2008/9</v>
      </c>
      <c r="G3" s="341" t="str">
        <f t="shared" si="1"/>
        <v>2009/10</v>
      </c>
      <c r="H3" s="341" t="str">
        <f t="shared" si="1"/>
        <v>2010/11</v>
      </c>
      <c r="I3" s="341" t="str">
        <f t="shared" si="1"/>
        <v>2011/12</v>
      </c>
      <c r="J3" s="341" t="str">
        <f t="shared" si="1"/>
        <v>2012/13</v>
      </c>
      <c r="K3" s="341" t="str">
        <f t="shared" si="1"/>
        <v>2013/14</v>
      </c>
      <c r="L3" s="341" t="str">
        <f t="shared" si="1"/>
        <v>2014/15</v>
      </c>
      <c r="M3" s="341" t="str">
        <f t="shared" si="1"/>
        <v>2015/16</v>
      </c>
      <c r="N3" s="341" t="str">
        <f t="shared" si="1"/>
        <v>2016/17</v>
      </c>
      <c r="O3" s="341" t="str">
        <f t="shared" si="1"/>
        <v>2017/18</v>
      </c>
      <c r="P3" s="4"/>
      <c r="R3" s="1" t="s">
        <v>534</v>
      </c>
      <c r="S3" s="1" t="s">
        <v>535</v>
      </c>
      <c r="T3" s="1" t="s">
        <v>536</v>
      </c>
    </row>
    <row r="4" spans="1:21" x14ac:dyDescent="0.2">
      <c r="A4" s="7" t="str">
        <f>'Template names'!C4</f>
        <v>Prior year -3</v>
      </c>
      <c r="B4" s="4" t="s">
        <v>94</v>
      </c>
      <c r="C4" s="4" t="s">
        <v>93</v>
      </c>
      <c r="D4" s="4" t="s">
        <v>528</v>
      </c>
      <c r="E4" s="341" t="str">
        <f t="shared" ref="E4:O4" si="2">E1-4&amp;"/"&amp;RIGHT(E1,2)-3</f>
        <v>2006/7</v>
      </c>
      <c r="F4" s="341" t="str">
        <f t="shared" si="2"/>
        <v>2007/8</v>
      </c>
      <c r="G4" s="341" t="str">
        <f t="shared" si="2"/>
        <v>2008/9</v>
      </c>
      <c r="H4" s="341" t="str">
        <f t="shared" si="2"/>
        <v>2009/10</v>
      </c>
      <c r="I4" s="341" t="str">
        <f t="shared" si="2"/>
        <v>2010/11</v>
      </c>
      <c r="J4" s="341" t="str">
        <f t="shared" si="2"/>
        <v>2011/12</v>
      </c>
      <c r="K4" s="341" t="str">
        <f t="shared" si="2"/>
        <v>2012/13</v>
      </c>
      <c r="L4" s="341" t="str">
        <f t="shared" si="2"/>
        <v>2013/14</v>
      </c>
      <c r="M4" s="341" t="str">
        <f t="shared" si="2"/>
        <v>2014/15</v>
      </c>
      <c r="N4" s="341" t="str">
        <f t="shared" si="2"/>
        <v>2015/16</v>
      </c>
      <c r="O4" s="341" t="str">
        <f t="shared" si="2"/>
        <v>2016/17</v>
      </c>
      <c r="P4" s="4"/>
      <c r="R4" s="1" t="s">
        <v>537</v>
      </c>
      <c r="S4" s="1" t="s">
        <v>538</v>
      </c>
      <c r="T4" s="1" t="s">
        <v>539</v>
      </c>
    </row>
    <row r="5" spans="1:21" x14ac:dyDescent="0.2">
      <c r="A5" s="7" t="str">
        <f>'Template names'!C5</f>
        <v>Year in which budget is being prepared</v>
      </c>
      <c r="B5" s="4" t="s">
        <v>540</v>
      </c>
      <c r="C5" s="4" t="s">
        <v>541</v>
      </c>
      <c r="D5" s="4" t="s">
        <v>542</v>
      </c>
      <c r="E5" s="341" t="str">
        <f t="shared" ref="E5:O5" si="3">"Current Year "&amp; E1-1&amp;"/"&amp;RIGHT(E1,2)</f>
        <v>Current Year 2009/10</v>
      </c>
      <c r="F5" s="341" t="str">
        <f t="shared" si="3"/>
        <v>Current Year 2010/11</v>
      </c>
      <c r="G5" s="341" t="str">
        <f t="shared" si="3"/>
        <v>Current Year 2011/12</v>
      </c>
      <c r="H5" s="341" t="str">
        <f t="shared" si="3"/>
        <v>Current Year 2012/13</v>
      </c>
      <c r="I5" s="341" t="str">
        <f t="shared" si="3"/>
        <v>Current Year 2013/14</v>
      </c>
      <c r="J5" s="341" t="str">
        <f t="shared" si="3"/>
        <v>Current Year 2014/15</v>
      </c>
      <c r="K5" s="341" t="str">
        <f t="shared" si="3"/>
        <v>Current Year 2015/16</v>
      </c>
      <c r="L5" s="341" t="str">
        <f t="shared" si="3"/>
        <v>Current Year 2016/17</v>
      </c>
      <c r="M5" s="341" t="str">
        <f t="shared" si="3"/>
        <v>Current Year 2017/18</v>
      </c>
      <c r="N5" s="341" t="str">
        <f t="shared" si="3"/>
        <v>Current Year 2018/19</v>
      </c>
      <c r="O5" s="341" t="str">
        <f t="shared" si="3"/>
        <v>Current Year 2019/20</v>
      </c>
      <c r="P5" s="4"/>
      <c r="R5" s="1" t="s">
        <v>543</v>
      </c>
      <c r="S5" s="1" t="s">
        <v>544</v>
      </c>
      <c r="T5" s="1" t="s">
        <v>545</v>
      </c>
    </row>
    <row r="6" spans="1:21" x14ac:dyDescent="0.2">
      <c r="A6" s="7" t="str">
        <f>'Template names'!C6</f>
        <v>Year in which budget is being prepared</v>
      </c>
      <c r="B6" s="4" t="s">
        <v>118</v>
      </c>
      <c r="C6" s="4" t="s">
        <v>529</v>
      </c>
      <c r="D6" s="4" t="s">
        <v>530</v>
      </c>
      <c r="E6" s="341" t="str">
        <f t="shared" ref="E6:O6" si="4">E1-1&amp;"/"&amp;RIGHT(E1,2)</f>
        <v>2009/10</v>
      </c>
      <c r="F6" s="341" t="str">
        <f t="shared" si="4"/>
        <v>2010/11</v>
      </c>
      <c r="G6" s="341" t="str">
        <f t="shared" si="4"/>
        <v>2011/12</v>
      </c>
      <c r="H6" s="341" t="str">
        <f t="shared" si="4"/>
        <v>2012/13</v>
      </c>
      <c r="I6" s="341" t="str">
        <f t="shared" si="4"/>
        <v>2013/14</v>
      </c>
      <c r="J6" s="341" t="str">
        <f t="shared" si="4"/>
        <v>2014/15</v>
      </c>
      <c r="K6" s="341" t="str">
        <f t="shared" si="4"/>
        <v>2015/16</v>
      </c>
      <c r="L6" s="341" t="str">
        <f t="shared" si="4"/>
        <v>2016/17</v>
      </c>
      <c r="M6" s="341" t="str">
        <f t="shared" si="4"/>
        <v>2017/18</v>
      </c>
      <c r="N6" s="341" t="str">
        <f t="shared" si="4"/>
        <v>2018/19</v>
      </c>
      <c r="O6" s="341" t="str">
        <f t="shared" si="4"/>
        <v>2019/20</v>
      </c>
      <c r="P6" s="4"/>
      <c r="R6" s="1" t="s">
        <v>546</v>
      </c>
      <c r="T6" s="1" t="s">
        <v>547</v>
      </c>
    </row>
    <row r="7" spans="1:21" x14ac:dyDescent="0.2">
      <c r="A7" s="7" t="str">
        <f>'Template names'!C7</f>
        <v>MTREF name</v>
      </c>
      <c r="B7" s="4" t="s">
        <v>548</v>
      </c>
      <c r="C7" s="4" t="s">
        <v>549</v>
      </c>
      <c r="D7" s="4" t="s">
        <v>550</v>
      </c>
      <c r="E7" s="341" t="str">
        <f t="shared" ref="E7:O7" si="5">E1&amp;"/"&amp;RIGHT(E1,2)+1&amp;" Medium Term Revenue &amp; Expenditure Framework"</f>
        <v>2010/11 Medium Term Revenue &amp; Expenditure Framework</v>
      </c>
      <c r="F7" s="341" t="str">
        <f t="shared" si="5"/>
        <v>2011/12 Medium Term Revenue &amp; Expenditure Framework</v>
      </c>
      <c r="G7" s="341" t="str">
        <f t="shared" si="5"/>
        <v>2012/13 Medium Term Revenue &amp; Expenditure Framework</v>
      </c>
      <c r="H7" s="341" t="str">
        <f t="shared" si="5"/>
        <v>2013/14 Medium Term Revenue &amp; Expenditure Framework</v>
      </c>
      <c r="I7" s="341" t="str">
        <f t="shared" si="5"/>
        <v>2014/15 Medium Term Revenue &amp; Expenditure Framework</v>
      </c>
      <c r="J7" s="341" t="str">
        <f t="shared" si="5"/>
        <v>2015/16 Medium Term Revenue &amp; Expenditure Framework</v>
      </c>
      <c r="K7" s="341" t="str">
        <f t="shared" si="5"/>
        <v>2016/17 Medium Term Revenue &amp; Expenditure Framework</v>
      </c>
      <c r="L7" s="341" t="str">
        <f t="shared" si="5"/>
        <v>2017/18 Medium Term Revenue &amp; Expenditure Framework</v>
      </c>
      <c r="M7" s="341" t="str">
        <f t="shared" si="5"/>
        <v>2018/19 Medium Term Revenue &amp; Expenditure Framework</v>
      </c>
      <c r="N7" s="341" t="str">
        <f t="shared" si="5"/>
        <v>2019/20 Medium Term Revenue &amp; Expenditure Framework</v>
      </c>
      <c r="O7" s="341" t="str">
        <f t="shared" si="5"/>
        <v>2020/21 Medium Term Revenue &amp; Expenditure Framework</v>
      </c>
      <c r="P7" s="4"/>
      <c r="R7" s="1" t="s">
        <v>551</v>
      </c>
    </row>
    <row r="8" spans="1:21" x14ac:dyDescent="0.2">
      <c r="A8" s="7" t="str">
        <f>'Template names'!C16</f>
        <v>1st year of MTREF</v>
      </c>
      <c r="B8" s="4" t="s">
        <v>552</v>
      </c>
      <c r="C8" s="4" t="s">
        <v>553</v>
      </c>
      <c r="D8" s="4" t="s">
        <v>554</v>
      </c>
      <c r="E8" s="341" t="str">
        <f t="shared" ref="E8:O8" si="6">"Budget Year "&amp;E1&amp;"/"&amp;RIGHT(E1,2)+1</f>
        <v>Budget Year 2010/11</v>
      </c>
      <c r="F8" s="341" t="str">
        <f t="shared" si="6"/>
        <v>Budget Year 2011/12</v>
      </c>
      <c r="G8" s="341" t="str">
        <f t="shared" si="6"/>
        <v>Budget Year 2012/13</v>
      </c>
      <c r="H8" s="341" t="str">
        <f t="shared" si="6"/>
        <v>Budget Year 2013/14</v>
      </c>
      <c r="I8" s="341" t="str">
        <f t="shared" si="6"/>
        <v>Budget Year 2014/15</v>
      </c>
      <c r="J8" s="341" t="str">
        <f t="shared" si="6"/>
        <v>Budget Year 2015/16</v>
      </c>
      <c r="K8" s="341" t="str">
        <f t="shared" si="6"/>
        <v>Budget Year 2016/17</v>
      </c>
      <c r="L8" s="341" t="str">
        <f t="shared" si="6"/>
        <v>Budget Year 2017/18</v>
      </c>
      <c r="M8" s="341" t="str">
        <f t="shared" si="6"/>
        <v>Budget Year 2018/19</v>
      </c>
      <c r="N8" s="341" t="str">
        <f t="shared" si="6"/>
        <v>Budget Year 2019/20</v>
      </c>
      <c r="O8" s="341" t="str">
        <f t="shared" si="6"/>
        <v>Budget Year 2020/21</v>
      </c>
      <c r="P8" s="4"/>
    </row>
    <row r="9" spans="1:21" x14ac:dyDescent="0.2">
      <c r="A9" s="7" t="str">
        <f>'Template names'!C17</f>
        <v>2nd year of MTREF</v>
      </c>
      <c r="B9" s="4" t="s">
        <v>555</v>
      </c>
      <c r="C9" s="4" t="s">
        <v>556</v>
      </c>
      <c r="D9" s="4" t="s">
        <v>557</v>
      </c>
      <c r="E9" s="341" t="str">
        <f t="shared" ref="E9:O9" si="7">"Budget Year +1 "&amp;E1+1&amp;"/"&amp;RIGHT(E1,2)+2</f>
        <v>Budget Year +1 2011/12</v>
      </c>
      <c r="F9" s="341" t="str">
        <f t="shared" si="7"/>
        <v>Budget Year +1 2012/13</v>
      </c>
      <c r="G9" s="341" t="str">
        <f t="shared" si="7"/>
        <v>Budget Year +1 2013/14</v>
      </c>
      <c r="H9" s="341" t="str">
        <f t="shared" si="7"/>
        <v>Budget Year +1 2014/15</v>
      </c>
      <c r="I9" s="341" t="str">
        <f t="shared" si="7"/>
        <v>Budget Year +1 2015/16</v>
      </c>
      <c r="J9" s="341" t="str">
        <f t="shared" si="7"/>
        <v>Budget Year +1 2016/17</v>
      </c>
      <c r="K9" s="341" t="str">
        <f t="shared" si="7"/>
        <v>Budget Year +1 2017/18</v>
      </c>
      <c r="L9" s="341" t="str">
        <f t="shared" si="7"/>
        <v>Budget Year +1 2018/19</v>
      </c>
      <c r="M9" s="341" t="str">
        <f t="shared" si="7"/>
        <v>Budget Year +1 2019/20</v>
      </c>
      <c r="N9" s="341" t="str">
        <f t="shared" si="7"/>
        <v>Budget Year +1 2020/21</v>
      </c>
      <c r="O9" s="341" t="str">
        <f t="shared" si="7"/>
        <v>Budget Year +1 2021/22</v>
      </c>
      <c r="P9" s="4"/>
      <c r="R9" s="343"/>
    </row>
    <row r="10" spans="1:21" x14ac:dyDescent="0.2">
      <c r="A10" s="7" t="str">
        <f>'Template names'!C18</f>
        <v>3rd year of MTREF</v>
      </c>
      <c r="B10" s="4" t="s">
        <v>558</v>
      </c>
      <c r="C10" s="4" t="s">
        <v>559</v>
      </c>
      <c r="D10" s="4" t="s">
        <v>560</v>
      </c>
      <c r="E10" s="341" t="str">
        <f t="shared" ref="E10:O10" si="8">"Budget Year +2 "&amp;E1+2&amp;"/"&amp;RIGHT(E1,2)+3</f>
        <v>Budget Year +2 2012/13</v>
      </c>
      <c r="F10" s="341" t="str">
        <f t="shared" si="8"/>
        <v>Budget Year +2 2013/14</v>
      </c>
      <c r="G10" s="341" t="str">
        <f t="shared" si="8"/>
        <v>Budget Year +2 2014/15</v>
      </c>
      <c r="H10" s="341" t="str">
        <f t="shared" si="8"/>
        <v>Budget Year +2 2015/16</v>
      </c>
      <c r="I10" s="341" t="str">
        <f t="shared" si="8"/>
        <v>Budget Year +2 2016/17</v>
      </c>
      <c r="J10" s="341" t="str">
        <f t="shared" si="8"/>
        <v>Budget Year +2 2017/18</v>
      </c>
      <c r="K10" s="341" t="str">
        <f t="shared" si="8"/>
        <v>Budget Year +2 2018/19</v>
      </c>
      <c r="L10" s="341" t="str">
        <f t="shared" si="8"/>
        <v>Budget Year +2 2019/20</v>
      </c>
      <c r="M10" s="341" t="str">
        <f t="shared" si="8"/>
        <v>Budget Year +2 2020/21</v>
      </c>
      <c r="N10" s="341" t="str">
        <f t="shared" si="8"/>
        <v>Budget Year +2 2021/22</v>
      </c>
      <c r="O10" s="341" t="str">
        <f t="shared" si="8"/>
        <v>Budget Year +2 2022/23</v>
      </c>
      <c r="P10" s="4"/>
    </row>
    <row r="11" spans="1:21" x14ac:dyDescent="0.2">
      <c r="A11" s="7" t="str">
        <f>'Template names'!C19</f>
        <v>1st yr of long term forecast</v>
      </c>
      <c r="B11" s="4" t="s">
        <v>264</v>
      </c>
      <c r="C11" s="4" t="s">
        <v>265</v>
      </c>
      <c r="D11" s="4" t="s">
        <v>266</v>
      </c>
      <c r="E11" s="341" t="str">
        <f t="shared" ref="E11:O11" si="9">"Forecast "&amp;E1+3&amp;"/"&amp;RIGHT(E1,2)+4</f>
        <v>Forecast 2013/14</v>
      </c>
      <c r="F11" s="341" t="str">
        <f t="shared" si="9"/>
        <v>Forecast 2014/15</v>
      </c>
      <c r="G11" s="341" t="str">
        <f t="shared" si="9"/>
        <v>Forecast 2015/16</v>
      </c>
      <c r="H11" s="341" t="str">
        <f t="shared" si="9"/>
        <v>Forecast 2016/17</v>
      </c>
      <c r="I11" s="341" t="str">
        <f t="shared" si="9"/>
        <v>Forecast 2017/18</v>
      </c>
      <c r="J11" s="341" t="str">
        <f t="shared" si="9"/>
        <v>Forecast 2018/19</v>
      </c>
      <c r="K11" s="341" t="str">
        <f t="shared" si="9"/>
        <v>Forecast 2019/20</v>
      </c>
      <c r="L11" s="341" t="str">
        <f t="shared" si="9"/>
        <v>Forecast 2020/21</v>
      </c>
      <c r="M11" s="341" t="str">
        <f t="shared" si="9"/>
        <v>Forecast 2021/22</v>
      </c>
      <c r="N11" s="341" t="str">
        <f t="shared" si="9"/>
        <v>Forecast 2022/23</v>
      </c>
      <c r="O11" s="341" t="str">
        <f t="shared" si="9"/>
        <v>Forecast 2023/24</v>
      </c>
      <c r="P11" s="4"/>
    </row>
    <row r="12" spans="1:21" x14ac:dyDescent="0.2">
      <c r="A12" s="7" t="str">
        <f>'Template names'!C20</f>
        <v>Next yr of long term forecast</v>
      </c>
      <c r="B12" s="4" t="s">
        <v>265</v>
      </c>
      <c r="C12" s="4" t="s">
        <v>266</v>
      </c>
      <c r="D12" s="4" t="s">
        <v>267</v>
      </c>
      <c r="E12" s="341" t="str">
        <f t="shared" ref="E12:O12" si="10">"Forecast "&amp;E1+4&amp;"/"&amp;RIGHT(E1,2)+5</f>
        <v>Forecast 2014/15</v>
      </c>
      <c r="F12" s="341" t="str">
        <f t="shared" si="10"/>
        <v>Forecast 2015/16</v>
      </c>
      <c r="G12" s="341" t="str">
        <f t="shared" si="10"/>
        <v>Forecast 2016/17</v>
      </c>
      <c r="H12" s="341" t="str">
        <f t="shared" si="10"/>
        <v>Forecast 2017/18</v>
      </c>
      <c r="I12" s="341" t="str">
        <f t="shared" si="10"/>
        <v>Forecast 2018/19</v>
      </c>
      <c r="J12" s="341" t="str">
        <f t="shared" si="10"/>
        <v>Forecast 2019/20</v>
      </c>
      <c r="K12" s="341" t="str">
        <f t="shared" si="10"/>
        <v>Forecast 2020/21</v>
      </c>
      <c r="L12" s="341" t="str">
        <f t="shared" si="10"/>
        <v>Forecast 2021/22</v>
      </c>
      <c r="M12" s="341" t="str">
        <f t="shared" si="10"/>
        <v>Forecast 2022/23</v>
      </c>
      <c r="N12" s="341" t="str">
        <f t="shared" si="10"/>
        <v>Forecast 2023/24</v>
      </c>
      <c r="O12" s="341" t="str">
        <f t="shared" si="10"/>
        <v>Forecast 2024/25</v>
      </c>
      <c r="P12" s="4"/>
    </row>
    <row r="13" spans="1:21" x14ac:dyDescent="0.2">
      <c r="A13" s="7" t="str">
        <f>'Template names'!C21</f>
        <v>Next yr of long term forecast</v>
      </c>
      <c r="B13" s="4" t="s">
        <v>266</v>
      </c>
      <c r="C13" s="4" t="s">
        <v>267</v>
      </c>
      <c r="D13" s="4" t="s">
        <v>122</v>
      </c>
      <c r="E13" s="341" t="str">
        <f t="shared" ref="E13:O13" si="11">"Forecast "&amp;E1+5&amp;"/"&amp;RIGHT(E1,2)+6</f>
        <v>Forecast 2015/16</v>
      </c>
      <c r="F13" s="341" t="str">
        <f t="shared" si="11"/>
        <v>Forecast 2016/17</v>
      </c>
      <c r="G13" s="341" t="str">
        <f t="shared" si="11"/>
        <v>Forecast 2017/18</v>
      </c>
      <c r="H13" s="341" t="str">
        <f t="shared" si="11"/>
        <v>Forecast 2018/19</v>
      </c>
      <c r="I13" s="341" t="str">
        <f t="shared" si="11"/>
        <v>Forecast 2019/20</v>
      </c>
      <c r="J13" s="341" t="str">
        <f t="shared" si="11"/>
        <v>Forecast 2020/21</v>
      </c>
      <c r="K13" s="341" t="str">
        <f t="shared" si="11"/>
        <v>Forecast 2021/22</v>
      </c>
      <c r="L13" s="341" t="str">
        <f t="shared" si="11"/>
        <v>Forecast 2022/23</v>
      </c>
      <c r="M13" s="341" t="str">
        <f t="shared" si="11"/>
        <v>Forecast 2023/24</v>
      </c>
      <c r="N13" s="341" t="str">
        <f t="shared" si="11"/>
        <v>Forecast 2024/25</v>
      </c>
      <c r="O13" s="341" t="str">
        <f t="shared" si="11"/>
        <v>Forecast 2025/26</v>
      </c>
      <c r="P13" s="4"/>
    </row>
    <row r="14" spans="1:21" x14ac:dyDescent="0.2">
      <c r="A14" s="7" t="str">
        <f>'Template names'!C22</f>
        <v>Next yr of long term forecast</v>
      </c>
      <c r="B14" s="4" t="s">
        <v>267</v>
      </c>
      <c r="C14" s="4" t="s">
        <v>122</v>
      </c>
      <c r="D14" s="4" t="s">
        <v>123</v>
      </c>
      <c r="E14" s="341" t="str">
        <f t="shared" ref="E14:O14" si="12">"Forecast "&amp;E1+6&amp;"/"&amp;RIGHT(E1,2)+7</f>
        <v>Forecast 2016/17</v>
      </c>
      <c r="F14" s="341" t="str">
        <f t="shared" si="12"/>
        <v>Forecast 2017/18</v>
      </c>
      <c r="G14" s="341" t="str">
        <f t="shared" si="12"/>
        <v>Forecast 2018/19</v>
      </c>
      <c r="H14" s="341" t="str">
        <f t="shared" si="12"/>
        <v>Forecast 2019/20</v>
      </c>
      <c r="I14" s="341" t="str">
        <f t="shared" si="12"/>
        <v>Forecast 2020/21</v>
      </c>
      <c r="J14" s="341" t="str">
        <f t="shared" si="12"/>
        <v>Forecast 2021/22</v>
      </c>
      <c r="K14" s="341" t="str">
        <f t="shared" si="12"/>
        <v>Forecast 2022/23</v>
      </c>
      <c r="L14" s="341" t="str">
        <f t="shared" si="12"/>
        <v>Forecast 2023/24</v>
      </c>
      <c r="M14" s="341" t="str">
        <f t="shared" si="12"/>
        <v>Forecast 2024/25</v>
      </c>
      <c r="N14" s="341" t="str">
        <f t="shared" si="12"/>
        <v>Forecast 2025/26</v>
      </c>
      <c r="O14" s="341" t="str">
        <f t="shared" si="12"/>
        <v>Forecast 2026/27</v>
      </c>
      <c r="P14" s="4"/>
    </row>
    <row r="15" spans="1:21" x14ac:dyDescent="0.2">
      <c r="A15" s="7" t="str">
        <f>'Template names'!C23</f>
        <v>Next yr of long term forecast</v>
      </c>
      <c r="B15" s="4" t="s">
        <v>122</v>
      </c>
      <c r="C15" s="4" t="s">
        <v>123</v>
      </c>
      <c r="D15" s="4" t="s">
        <v>124</v>
      </c>
      <c r="E15" s="341" t="str">
        <f t="shared" ref="E15:O15" si="13">"Forecast "&amp;E1+7&amp;"/"&amp;RIGHT(E1,2)+8</f>
        <v>Forecast 2017/18</v>
      </c>
      <c r="F15" s="341" t="str">
        <f t="shared" si="13"/>
        <v>Forecast 2018/19</v>
      </c>
      <c r="G15" s="341" t="str">
        <f t="shared" si="13"/>
        <v>Forecast 2019/20</v>
      </c>
      <c r="H15" s="341" t="str">
        <f t="shared" si="13"/>
        <v>Forecast 2020/21</v>
      </c>
      <c r="I15" s="341" t="str">
        <f t="shared" si="13"/>
        <v>Forecast 2021/22</v>
      </c>
      <c r="J15" s="341" t="str">
        <f t="shared" si="13"/>
        <v>Forecast 2022/23</v>
      </c>
      <c r="K15" s="341" t="str">
        <f t="shared" si="13"/>
        <v>Forecast 2023/24</v>
      </c>
      <c r="L15" s="341" t="str">
        <f t="shared" si="13"/>
        <v>Forecast 2024/25</v>
      </c>
      <c r="M15" s="341" t="str">
        <f t="shared" si="13"/>
        <v>Forecast 2025/26</v>
      </c>
      <c r="N15" s="341" t="str">
        <f t="shared" si="13"/>
        <v>Forecast 2026/27</v>
      </c>
      <c r="O15" s="341" t="str">
        <f t="shared" si="13"/>
        <v>Forecast 2027/28</v>
      </c>
      <c r="P15" s="4"/>
    </row>
    <row r="16" spans="1:21" x14ac:dyDescent="0.2">
      <c r="A16" s="7" t="str">
        <f>'Template names'!C24</f>
        <v>Next yr of long term forecast</v>
      </c>
      <c r="B16" s="4" t="s">
        <v>123</v>
      </c>
      <c r="C16" s="4" t="s">
        <v>124</v>
      </c>
      <c r="D16" s="4" t="s">
        <v>125</v>
      </c>
      <c r="E16" s="341" t="str">
        <f t="shared" ref="E16:O16" si="14">"Forecast "&amp;E1+8&amp;"/"&amp;RIGHT(E1,2)+9</f>
        <v>Forecast 2018/19</v>
      </c>
      <c r="F16" s="341" t="str">
        <f t="shared" si="14"/>
        <v>Forecast 2019/20</v>
      </c>
      <c r="G16" s="341" t="str">
        <f t="shared" si="14"/>
        <v>Forecast 2020/21</v>
      </c>
      <c r="H16" s="341" t="str">
        <f t="shared" si="14"/>
        <v>Forecast 2021/22</v>
      </c>
      <c r="I16" s="341" t="str">
        <f t="shared" si="14"/>
        <v>Forecast 2022/23</v>
      </c>
      <c r="J16" s="341" t="str">
        <f t="shared" si="14"/>
        <v>Forecast 2023/24</v>
      </c>
      <c r="K16" s="341" t="str">
        <f t="shared" si="14"/>
        <v>Forecast 2024/25</v>
      </c>
      <c r="L16" s="341" t="str">
        <f t="shared" si="14"/>
        <v>Forecast 2025/26</v>
      </c>
      <c r="M16" s="341" t="str">
        <f t="shared" si="14"/>
        <v>Forecast 2026/27</v>
      </c>
      <c r="N16" s="341" t="str">
        <f t="shared" si="14"/>
        <v>Forecast 2027/28</v>
      </c>
      <c r="O16" s="341" t="str">
        <f t="shared" si="14"/>
        <v>Forecast 2028/29</v>
      </c>
      <c r="P16" s="4"/>
    </row>
    <row r="17" spans="1:16" x14ac:dyDescent="0.2">
      <c r="A17" s="7" t="str">
        <f>'Template names'!C25</f>
        <v>Next yr of long term forecast</v>
      </c>
      <c r="B17" s="4" t="s">
        <v>124</v>
      </c>
      <c r="C17" s="4" t="s">
        <v>125</v>
      </c>
      <c r="D17" s="4" t="s">
        <v>23</v>
      </c>
      <c r="E17" s="341" t="str">
        <f t="shared" ref="E17:O17" si="15">"Forecast "&amp;E1+9&amp;"/"&amp;RIGHT(E1,2)+10</f>
        <v>Forecast 2019/20</v>
      </c>
      <c r="F17" s="341" t="str">
        <f t="shared" si="15"/>
        <v>Forecast 2020/21</v>
      </c>
      <c r="G17" s="341" t="str">
        <f t="shared" si="15"/>
        <v>Forecast 2021/22</v>
      </c>
      <c r="H17" s="341" t="str">
        <f t="shared" si="15"/>
        <v>Forecast 2022/23</v>
      </c>
      <c r="I17" s="341" t="str">
        <f t="shared" si="15"/>
        <v>Forecast 2023/24</v>
      </c>
      <c r="J17" s="341" t="str">
        <f t="shared" si="15"/>
        <v>Forecast 2024/25</v>
      </c>
      <c r="K17" s="341" t="str">
        <f t="shared" si="15"/>
        <v>Forecast 2025/26</v>
      </c>
      <c r="L17" s="341" t="str">
        <f t="shared" si="15"/>
        <v>Forecast 2026/27</v>
      </c>
      <c r="M17" s="341" t="str">
        <f t="shared" si="15"/>
        <v>Forecast 2027/28</v>
      </c>
      <c r="N17" s="341" t="str">
        <f t="shared" si="15"/>
        <v>Forecast 2028/29</v>
      </c>
      <c r="O17" s="341" t="str">
        <f t="shared" si="15"/>
        <v>Forecast 2029/30</v>
      </c>
      <c r="P17" s="4"/>
    </row>
    <row r="18" spans="1:16" x14ac:dyDescent="0.2">
      <c r="A18" s="7" t="str">
        <f>'Template names'!C26</f>
        <v>Next yr of long term forecast</v>
      </c>
      <c r="B18" s="4" t="s">
        <v>125</v>
      </c>
      <c r="C18" s="4" t="s">
        <v>23</v>
      </c>
      <c r="D18" s="4" t="s">
        <v>22</v>
      </c>
      <c r="E18" s="341" t="str">
        <f t="shared" ref="E18:O18" si="16">"Forecast "&amp;E1+10&amp;"/"&amp;RIGHT(E1,2)+11</f>
        <v>Forecast 2020/21</v>
      </c>
      <c r="F18" s="341" t="str">
        <f t="shared" si="16"/>
        <v>Forecast 2021/22</v>
      </c>
      <c r="G18" s="341" t="str">
        <f t="shared" si="16"/>
        <v>Forecast 2022/23</v>
      </c>
      <c r="H18" s="341" t="str">
        <f t="shared" si="16"/>
        <v>Forecast 2023/24</v>
      </c>
      <c r="I18" s="341" t="str">
        <f t="shared" si="16"/>
        <v>Forecast 2024/25</v>
      </c>
      <c r="J18" s="341" t="str">
        <f t="shared" si="16"/>
        <v>Forecast 2025/26</v>
      </c>
      <c r="K18" s="341" t="str">
        <f t="shared" si="16"/>
        <v>Forecast 2026/27</v>
      </c>
      <c r="L18" s="341" t="str">
        <f t="shared" si="16"/>
        <v>Forecast 2027/28</v>
      </c>
      <c r="M18" s="341" t="str">
        <f t="shared" si="16"/>
        <v>Forecast 2028/29</v>
      </c>
      <c r="N18" s="341" t="str">
        <f t="shared" si="16"/>
        <v>Forecast 2029/30</v>
      </c>
      <c r="O18" s="341" t="str">
        <f t="shared" si="16"/>
        <v>Forecast 2030/31</v>
      </c>
      <c r="P18" s="4"/>
    </row>
    <row r="19" spans="1:16" x14ac:dyDescent="0.2">
      <c r="A19" s="7" t="str">
        <f>'Template names'!C27</f>
        <v>Next yr of long term forecast</v>
      </c>
      <c r="B19" s="4" t="s">
        <v>23</v>
      </c>
      <c r="C19" s="4" t="s">
        <v>22</v>
      </c>
      <c r="D19" s="4" t="s">
        <v>126</v>
      </c>
      <c r="E19" s="341" t="str">
        <f t="shared" ref="E19:O19" si="17">"Forecast "&amp;E1+11&amp;"/"&amp;RIGHT(E1,2)+12</f>
        <v>Forecast 2021/22</v>
      </c>
      <c r="F19" s="341" t="str">
        <f t="shared" si="17"/>
        <v>Forecast 2022/23</v>
      </c>
      <c r="G19" s="341" t="str">
        <f t="shared" si="17"/>
        <v>Forecast 2023/24</v>
      </c>
      <c r="H19" s="341" t="str">
        <f t="shared" si="17"/>
        <v>Forecast 2024/25</v>
      </c>
      <c r="I19" s="341" t="str">
        <f t="shared" si="17"/>
        <v>Forecast 2025/26</v>
      </c>
      <c r="J19" s="341" t="str">
        <f t="shared" si="17"/>
        <v>Forecast 2026/27</v>
      </c>
      <c r="K19" s="341" t="str">
        <f t="shared" si="17"/>
        <v>Forecast 2027/28</v>
      </c>
      <c r="L19" s="341" t="str">
        <f t="shared" si="17"/>
        <v>Forecast 2028/29</v>
      </c>
      <c r="M19" s="341" t="str">
        <f t="shared" si="17"/>
        <v>Forecast 2029/30</v>
      </c>
      <c r="N19" s="341" t="str">
        <f t="shared" si="17"/>
        <v>Forecast 2030/31</v>
      </c>
      <c r="O19" s="341" t="str">
        <f t="shared" si="17"/>
        <v>Forecast 2031/32</v>
      </c>
      <c r="P19" s="4"/>
    </row>
    <row r="20" spans="1:16" x14ac:dyDescent="0.2">
      <c r="A20" s="7" t="str">
        <f>'Template names'!C28</f>
        <v>Next yr of long term forecast</v>
      </c>
      <c r="B20" s="4" t="s">
        <v>22</v>
      </c>
      <c r="C20" s="4" t="s">
        <v>126</v>
      </c>
      <c r="D20" s="4" t="s">
        <v>448</v>
      </c>
      <c r="E20" s="341" t="str">
        <f t="shared" ref="E20:O20" si="18">"Forecast "&amp;E1+12&amp;"/"&amp;RIGHT(E1,2)+13</f>
        <v>Forecast 2022/23</v>
      </c>
      <c r="F20" s="341" t="str">
        <f t="shared" si="18"/>
        <v>Forecast 2023/24</v>
      </c>
      <c r="G20" s="341" t="str">
        <f t="shared" si="18"/>
        <v>Forecast 2024/25</v>
      </c>
      <c r="H20" s="341" t="str">
        <f t="shared" si="18"/>
        <v>Forecast 2025/26</v>
      </c>
      <c r="I20" s="341" t="str">
        <f t="shared" si="18"/>
        <v>Forecast 2026/27</v>
      </c>
      <c r="J20" s="341" t="str">
        <f t="shared" si="18"/>
        <v>Forecast 2027/28</v>
      </c>
      <c r="K20" s="341" t="str">
        <f t="shared" si="18"/>
        <v>Forecast 2028/29</v>
      </c>
      <c r="L20" s="341" t="str">
        <f t="shared" si="18"/>
        <v>Forecast 2029/30</v>
      </c>
      <c r="M20" s="341" t="str">
        <f t="shared" si="18"/>
        <v>Forecast 2030/31</v>
      </c>
      <c r="N20" s="341" t="str">
        <f t="shared" si="18"/>
        <v>Forecast 2031/32</v>
      </c>
      <c r="O20" s="341" t="str">
        <f t="shared" si="18"/>
        <v>Forecast 2032/33</v>
      </c>
      <c r="P20" s="4"/>
    </row>
    <row r="21" spans="1:16" x14ac:dyDescent="0.2">
      <c r="A21" s="7" t="str">
        <f>'Template names'!C29</f>
        <v>Next yr of long term forecast</v>
      </c>
      <c r="B21" s="4" t="s">
        <v>126</v>
      </c>
      <c r="C21" s="4" t="s">
        <v>448</v>
      </c>
      <c r="D21" s="4" t="s">
        <v>561</v>
      </c>
      <c r="E21" s="341" t="str">
        <f t="shared" ref="E21:O21" si="19">"Forecast "&amp;E1+13&amp;"/"&amp;RIGHT(E1,2)+14</f>
        <v>Forecast 2023/24</v>
      </c>
      <c r="F21" s="341" t="str">
        <f t="shared" si="19"/>
        <v>Forecast 2024/25</v>
      </c>
      <c r="G21" s="341" t="str">
        <f t="shared" si="19"/>
        <v>Forecast 2025/26</v>
      </c>
      <c r="H21" s="341" t="str">
        <f t="shared" si="19"/>
        <v>Forecast 2026/27</v>
      </c>
      <c r="I21" s="341" t="str">
        <f t="shared" si="19"/>
        <v>Forecast 2027/28</v>
      </c>
      <c r="J21" s="341" t="str">
        <f t="shared" si="19"/>
        <v>Forecast 2028/29</v>
      </c>
      <c r="K21" s="341" t="str">
        <f t="shared" si="19"/>
        <v>Forecast 2029/30</v>
      </c>
      <c r="L21" s="341" t="str">
        <f t="shared" si="19"/>
        <v>Forecast 2030/31</v>
      </c>
      <c r="M21" s="341" t="str">
        <f t="shared" si="19"/>
        <v>Forecast 2031/32</v>
      </c>
      <c r="N21" s="341" t="str">
        <f t="shared" si="19"/>
        <v>Forecast 2032/33</v>
      </c>
      <c r="O21" s="341" t="str">
        <f t="shared" si="19"/>
        <v>Forecast 2033/34</v>
      </c>
      <c r="P21" s="4"/>
    </row>
    <row r="22" spans="1:16" x14ac:dyDescent="0.2">
      <c r="A22" s="7" t="str">
        <f>'Template names'!C30</f>
        <v>Next yr of long term forecast</v>
      </c>
      <c r="B22" s="4" t="s">
        <v>448</v>
      </c>
      <c r="C22" s="4" t="s">
        <v>561</v>
      </c>
      <c r="D22" s="4" t="s">
        <v>562</v>
      </c>
      <c r="E22" s="341" t="str">
        <f t="shared" ref="E22:O22" si="20">"Forecast "&amp;E1+14&amp;"/"&amp;RIGHT(E1,2)+15</f>
        <v>Forecast 2024/25</v>
      </c>
      <c r="F22" s="341" t="str">
        <f t="shared" si="20"/>
        <v>Forecast 2025/26</v>
      </c>
      <c r="G22" s="341" t="str">
        <f t="shared" si="20"/>
        <v>Forecast 2026/27</v>
      </c>
      <c r="H22" s="341" t="str">
        <f t="shared" si="20"/>
        <v>Forecast 2027/28</v>
      </c>
      <c r="I22" s="341" t="str">
        <f t="shared" si="20"/>
        <v>Forecast 2028/29</v>
      </c>
      <c r="J22" s="341" t="str">
        <f t="shared" si="20"/>
        <v>Forecast 2029/30</v>
      </c>
      <c r="K22" s="341" t="str">
        <f t="shared" si="20"/>
        <v>Forecast 2030/31</v>
      </c>
      <c r="L22" s="341" t="str">
        <f t="shared" si="20"/>
        <v>Forecast 2031/32</v>
      </c>
      <c r="M22" s="341" t="str">
        <f t="shared" si="20"/>
        <v>Forecast 2032/33</v>
      </c>
      <c r="N22" s="341" t="str">
        <f t="shared" si="20"/>
        <v>Forecast 2033/34</v>
      </c>
      <c r="O22" s="341" t="str">
        <f t="shared" si="20"/>
        <v>Forecast 2034/35</v>
      </c>
      <c r="P22" s="4"/>
    </row>
    <row r="23" spans="1:16" x14ac:dyDescent="0.2">
      <c r="A23" s="7" t="s">
        <v>563</v>
      </c>
      <c r="B23" s="4" t="s">
        <v>315</v>
      </c>
      <c r="C23" s="4" t="s">
        <v>564</v>
      </c>
      <c r="D23" s="4" t="s">
        <v>565</v>
      </c>
      <c r="E23" s="341" t="str">
        <f t="shared" ref="E23:O23" si="21">"Annual target " &amp; E1&amp;"/"&amp;RIGHT(E1,2)+1</f>
        <v>Annual target 2010/11</v>
      </c>
      <c r="F23" s="341" t="str">
        <f t="shared" si="21"/>
        <v>Annual target 2011/12</v>
      </c>
      <c r="G23" s="341" t="str">
        <f t="shared" si="21"/>
        <v>Annual target 2012/13</v>
      </c>
      <c r="H23" s="341" t="str">
        <f t="shared" si="21"/>
        <v>Annual target 2013/14</v>
      </c>
      <c r="I23" s="341" t="str">
        <f t="shared" si="21"/>
        <v>Annual target 2014/15</v>
      </c>
      <c r="J23" s="341" t="str">
        <f t="shared" si="21"/>
        <v>Annual target 2015/16</v>
      </c>
      <c r="K23" s="341" t="str">
        <f t="shared" si="21"/>
        <v>Annual target 2016/17</v>
      </c>
      <c r="L23" s="341" t="str">
        <f t="shared" si="21"/>
        <v>Annual target 2017/18</v>
      </c>
      <c r="M23" s="341" t="str">
        <f t="shared" si="21"/>
        <v>Annual target 2018/19</v>
      </c>
      <c r="N23" s="341" t="str">
        <f t="shared" si="21"/>
        <v>Annual target 2019/20</v>
      </c>
      <c r="O23" s="341" t="str">
        <f t="shared" si="21"/>
        <v>Annual target 2020/21</v>
      </c>
      <c r="P23" s="4"/>
    </row>
    <row r="24" spans="1:16" x14ac:dyDescent="0.2">
      <c r="A24" s="344" t="s">
        <v>563</v>
      </c>
      <c r="B24" s="9" t="s">
        <v>316</v>
      </c>
      <c r="C24" s="9" t="s">
        <v>566</v>
      </c>
      <c r="D24" s="9" t="s">
        <v>567</v>
      </c>
      <c r="E24" s="342" t="str">
        <f t="shared" ref="E24:O24" si="22">"Revised target "&amp; E1&amp;"/"&amp;RIGHT(E1,2)+1</f>
        <v>Revised target 2010/11</v>
      </c>
      <c r="F24" s="342" t="str">
        <f t="shared" si="22"/>
        <v>Revised target 2011/12</v>
      </c>
      <c r="G24" s="342" t="str">
        <f t="shared" si="22"/>
        <v>Revised target 2012/13</v>
      </c>
      <c r="H24" s="342" t="str">
        <f t="shared" si="22"/>
        <v>Revised target 2013/14</v>
      </c>
      <c r="I24" s="342" t="str">
        <f t="shared" si="22"/>
        <v>Revised target 2014/15</v>
      </c>
      <c r="J24" s="342" t="str">
        <f t="shared" si="22"/>
        <v>Revised target 2015/16</v>
      </c>
      <c r="K24" s="342" t="str">
        <f t="shared" si="22"/>
        <v>Revised target 2016/17</v>
      </c>
      <c r="L24" s="342" t="str">
        <f t="shared" si="22"/>
        <v>Revised target 2017/18</v>
      </c>
      <c r="M24" s="342" t="str">
        <f t="shared" si="22"/>
        <v>Revised target 2018/19</v>
      </c>
      <c r="N24" s="342" t="str">
        <f t="shared" si="22"/>
        <v>Revised target 2019/20</v>
      </c>
      <c r="O24" s="342" t="str">
        <f t="shared" si="22"/>
        <v>Revised target 2020/21</v>
      </c>
      <c r="P24" s="4"/>
    </row>
    <row r="25" spans="1:16" ht="18" x14ac:dyDescent="0.25">
      <c r="A25" s="345" t="s">
        <v>578</v>
      </c>
    </row>
    <row r="27" spans="1:16" x14ac:dyDescent="0.2">
      <c r="A27" s="1" t="s">
        <v>684</v>
      </c>
      <c r="B27" s="1">
        <v>172</v>
      </c>
    </row>
    <row r="28" spans="1:16" x14ac:dyDescent="0.2">
      <c r="A28" s="1" t="s">
        <v>685</v>
      </c>
      <c r="B28" s="1" t="str">
        <f>INDEX(B29:B312,B27,1)</f>
        <v>LIM333 Greater Tzaneen</v>
      </c>
    </row>
    <row r="29" spans="1:16" x14ac:dyDescent="0.2">
      <c r="B29" s="1" t="s">
        <v>686</v>
      </c>
      <c r="C29" s="1" t="s">
        <v>687</v>
      </c>
    </row>
    <row r="30" spans="1:16" x14ac:dyDescent="0.2">
      <c r="B30" s="610" t="s">
        <v>688</v>
      </c>
      <c r="C30" s="611" t="s">
        <v>689</v>
      </c>
    </row>
    <row r="31" spans="1:16" x14ac:dyDescent="0.2">
      <c r="B31" s="610" t="s">
        <v>690</v>
      </c>
      <c r="C31" s="612" t="s">
        <v>691</v>
      </c>
    </row>
    <row r="32" spans="1:16" x14ac:dyDescent="0.2">
      <c r="B32" s="610" t="s">
        <v>692</v>
      </c>
      <c r="C32" s="611" t="s">
        <v>691</v>
      </c>
    </row>
    <row r="33" spans="2:3" x14ac:dyDescent="0.2">
      <c r="B33" s="610" t="s">
        <v>693</v>
      </c>
      <c r="C33" s="611" t="s">
        <v>691</v>
      </c>
    </row>
    <row r="34" spans="2:3" x14ac:dyDescent="0.2">
      <c r="B34" s="610" t="s">
        <v>998</v>
      </c>
      <c r="C34" s="611" t="s">
        <v>691</v>
      </c>
    </row>
    <row r="35" spans="2:3" x14ac:dyDescent="0.2">
      <c r="B35" s="610" t="s">
        <v>694</v>
      </c>
      <c r="C35" s="611" t="s">
        <v>691</v>
      </c>
    </row>
    <row r="36" spans="2:3" x14ac:dyDescent="0.2">
      <c r="B36" s="610" t="s">
        <v>695</v>
      </c>
      <c r="C36" s="611" t="s">
        <v>696</v>
      </c>
    </row>
    <row r="37" spans="2:3" x14ac:dyDescent="0.2">
      <c r="B37" s="610" t="s">
        <v>697</v>
      </c>
      <c r="C37" s="612" t="s">
        <v>696</v>
      </c>
    </row>
    <row r="38" spans="2:3" x14ac:dyDescent="0.2">
      <c r="B38" s="610" t="s">
        <v>698</v>
      </c>
      <c r="C38" s="611" t="s">
        <v>696</v>
      </c>
    </row>
    <row r="39" spans="2:3" x14ac:dyDescent="0.2">
      <c r="B39" s="610" t="s">
        <v>699</v>
      </c>
      <c r="C39" s="613" t="s">
        <v>696</v>
      </c>
    </row>
    <row r="40" spans="2:3" x14ac:dyDescent="0.2">
      <c r="B40" s="610" t="s">
        <v>999</v>
      </c>
      <c r="C40" s="613" t="s">
        <v>689</v>
      </c>
    </row>
    <row r="41" spans="2:3" x14ac:dyDescent="0.2">
      <c r="B41" s="610" t="s">
        <v>700</v>
      </c>
      <c r="C41" s="613" t="s">
        <v>696</v>
      </c>
    </row>
    <row r="42" spans="2:3" x14ac:dyDescent="0.2">
      <c r="B42" s="610" t="s">
        <v>701</v>
      </c>
      <c r="C42" s="613" t="s">
        <v>1000</v>
      </c>
    </row>
    <row r="43" spans="2:3" x14ac:dyDescent="0.2">
      <c r="B43" s="610" t="s">
        <v>702</v>
      </c>
      <c r="C43" s="613" t="s">
        <v>1000</v>
      </c>
    </row>
    <row r="44" spans="2:3" x14ac:dyDescent="0.2">
      <c r="B44" s="610" t="s">
        <v>703</v>
      </c>
      <c r="C44" s="613" t="s">
        <v>1000</v>
      </c>
    </row>
    <row r="45" spans="2:3" x14ac:dyDescent="0.2">
      <c r="B45" s="610" t="s">
        <v>704</v>
      </c>
      <c r="C45" s="613" t="s">
        <v>1000</v>
      </c>
    </row>
    <row r="46" spans="2:3" x14ac:dyDescent="0.2">
      <c r="B46" s="610" t="s">
        <v>705</v>
      </c>
      <c r="C46" s="613" t="s">
        <v>1000</v>
      </c>
    </row>
    <row r="47" spans="2:3" x14ac:dyDescent="0.2">
      <c r="B47" s="610" t="s">
        <v>706</v>
      </c>
      <c r="C47" s="613" t="s">
        <v>1000</v>
      </c>
    </row>
    <row r="48" spans="2:3" x14ac:dyDescent="0.2">
      <c r="B48" s="610" t="s">
        <v>707</v>
      </c>
      <c r="C48" s="613" t="s">
        <v>1000</v>
      </c>
    </row>
    <row r="49" spans="2:3" x14ac:dyDescent="0.2">
      <c r="B49" s="610" t="s">
        <v>708</v>
      </c>
      <c r="C49" s="613" t="s">
        <v>1000</v>
      </c>
    </row>
    <row r="50" spans="2:3" x14ac:dyDescent="0.2">
      <c r="B50" s="610" t="s">
        <v>709</v>
      </c>
      <c r="C50" s="613" t="s">
        <v>1000</v>
      </c>
    </row>
    <row r="51" spans="2:3" x14ac:dyDescent="0.2">
      <c r="B51" s="610" t="s">
        <v>710</v>
      </c>
      <c r="C51" s="613" t="s">
        <v>689</v>
      </c>
    </row>
    <row r="52" spans="2:3" x14ac:dyDescent="0.2">
      <c r="B52" s="610" t="s">
        <v>711</v>
      </c>
      <c r="C52" s="613" t="s">
        <v>712</v>
      </c>
    </row>
    <row r="53" spans="2:3" x14ac:dyDescent="0.2">
      <c r="B53" s="610" t="s">
        <v>713</v>
      </c>
      <c r="C53" s="613" t="s">
        <v>712</v>
      </c>
    </row>
    <row r="54" spans="2:3" x14ac:dyDescent="0.2">
      <c r="B54" s="610" t="s">
        <v>714</v>
      </c>
      <c r="C54" s="613" t="s">
        <v>712</v>
      </c>
    </row>
    <row r="55" spans="2:3" x14ac:dyDescent="0.2">
      <c r="B55" s="610" t="s">
        <v>715</v>
      </c>
      <c r="C55" s="613" t="s">
        <v>716</v>
      </c>
    </row>
    <row r="56" spans="2:3" x14ac:dyDescent="0.2">
      <c r="B56" s="610" t="s">
        <v>717</v>
      </c>
      <c r="C56" s="613" t="s">
        <v>716</v>
      </c>
    </row>
    <row r="57" spans="2:3" x14ac:dyDescent="0.2">
      <c r="B57" s="610" t="s">
        <v>718</v>
      </c>
      <c r="C57" s="613" t="s">
        <v>716</v>
      </c>
    </row>
    <row r="58" spans="2:3" x14ac:dyDescent="0.2">
      <c r="B58" s="610" t="s">
        <v>719</v>
      </c>
      <c r="C58" s="613" t="s">
        <v>716</v>
      </c>
    </row>
    <row r="59" spans="2:3" x14ac:dyDescent="0.2">
      <c r="B59" s="610" t="s">
        <v>720</v>
      </c>
      <c r="C59" s="613" t="s">
        <v>721</v>
      </c>
    </row>
    <row r="60" spans="2:3" x14ac:dyDescent="0.2">
      <c r="B60" s="610" t="s">
        <v>722</v>
      </c>
      <c r="C60" s="613" t="s">
        <v>721</v>
      </c>
    </row>
    <row r="61" spans="2:3" x14ac:dyDescent="0.2">
      <c r="B61" s="610" t="s">
        <v>723</v>
      </c>
      <c r="C61" s="613" t="s">
        <v>721</v>
      </c>
    </row>
    <row r="62" spans="2:3" x14ac:dyDescent="0.2">
      <c r="B62" s="610" t="s">
        <v>724</v>
      </c>
      <c r="C62" s="613" t="s">
        <v>689</v>
      </c>
    </row>
    <row r="63" spans="2:3" x14ac:dyDescent="0.2">
      <c r="B63" s="610" t="s">
        <v>725</v>
      </c>
      <c r="C63" s="613" t="s">
        <v>721</v>
      </c>
    </row>
    <row r="64" spans="2:3" x14ac:dyDescent="0.2">
      <c r="B64" s="610" t="s">
        <v>726</v>
      </c>
      <c r="C64" s="613" t="s">
        <v>727</v>
      </c>
    </row>
    <row r="65" spans="2:3" x14ac:dyDescent="0.2">
      <c r="B65" s="610" t="s">
        <v>728</v>
      </c>
      <c r="C65" s="613" t="s">
        <v>1000</v>
      </c>
    </row>
    <row r="66" spans="2:3" x14ac:dyDescent="0.2">
      <c r="B66" s="610" t="s">
        <v>729</v>
      </c>
      <c r="C66" s="613" t="s">
        <v>691</v>
      </c>
    </row>
    <row r="67" spans="2:3" x14ac:dyDescent="0.2">
      <c r="B67" s="610" t="s">
        <v>1001</v>
      </c>
      <c r="C67" s="613" t="s">
        <v>730</v>
      </c>
    </row>
    <row r="68" spans="2:3" x14ac:dyDescent="0.2">
      <c r="B68" s="610" t="s">
        <v>731</v>
      </c>
      <c r="C68" s="613" t="s">
        <v>727</v>
      </c>
    </row>
    <row r="69" spans="2:3" x14ac:dyDescent="0.2">
      <c r="B69" s="610" t="s">
        <v>732</v>
      </c>
      <c r="C69" s="613" t="s">
        <v>716</v>
      </c>
    </row>
    <row r="70" spans="2:3" x14ac:dyDescent="0.2">
      <c r="B70" s="610" t="s">
        <v>733</v>
      </c>
      <c r="C70" s="613" t="s">
        <v>727</v>
      </c>
    </row>
    <row r="71" spans="2:3" x14ac:dyDescent="0.2">
      <c r="B71" s="610" t="s">
        <v>734</v>
      </c>
      <c r="C71" s="613" t="s">
        <v>689</v>
      </c>
    </row>
    <row r="72" spans="2:3" x14ac:dyDescent="0.2">
      <c r="B72" s="610" t="s">
        <v>735</v>
      </c>
      <c r="C72" s="613" t="s">
        <v>730</v>
      </c>
    </row>
    <row r="73" spans="2:3" x14ac:dyDescent="0.2">
      <c r="B73" s="610" t="s">
        <v>1002</v>
      </c>
      <c r="C73" s="613" t="s">
        <v>730</v>
      </c>
    </row>
    <row r="74" spans="2:3" x14ac:dyDescent="0.2">
      <c r="B74" s="610" t="s">
        <v>736</v>
      </c>
      <c r="C74" s="613" t="s">
        <v>730</v>
      </c>
    </row>
    <row r="75" spans="2:3" x14ac:dyDescent="0.2">
      <c r="B75" s="610" t="s">
        <v>737</v>
      </c>
      <c r="C75" s="613" t="s">
        <v>730</v>
      </c>
    </row>
    <row r="76" spans="2:3" x14ac:dyDescent="0.2">
      <c r="B76" s="610" t="s">
        <v>738</v>
      </c>
      <c r="C76" s="613" t="s">
        <v>691</v>
      </c>
    </row>
    <row r="77" spans="2:3" x14ac:dyDescent="0.2">
      <c r="B77" s="610" t="s">
        <v>739</v>
      </c>
      <c r="C77" s="613" t="s">
        <v>691</v>
      </c>
    </row>
    <row r="78" spans="2:3" x14ac:dyDescent="0.2">
      <c r="B78" s="610" t="s">
        <v>740</v>
      </c>
      <c r="C78" s="613" t="s">
        <v>691</v>
      </c>
    </row>
    <row r="79" spans="2:3" x14ac:dyDescent="0.2">
      <c r="B79" s="610" t="s">
        <v>741</v>
      </c>
      <c r="C79" s="613" t="s">
        <v>691</v>
      </c>
    </row>
    <row r="80" spans="2:3" x14ac:dyDescent="0.2">
      <c r="B80" s="610" t="s">
        <v>742</v>
      </c>
      <c r="C80" s="613" t="s">
        <v>691</v>
      </c>
    </row>
    <row r="81" spans="2:3" x14ac:dyDescent="0.2">
      <c r="B81" s="610" t="s">
        <v>743</v>
      </c>
      <c r="C81" s="613" t="s">
        <v>691</v>
      </c>
    </row>
    <row r="82" spans="2:3" x14ac:dyDescent="0.2">
      <c r="B82" s="610" t="s">
        <v>744</v>
      </c>
      <c r="C82" s="613" t="s">
        <v>691</v>
      </c>
    </row>
    <row r="83" spans="2:3" x14ac:dyDescent="0.2">
      <c r="B83" s="610" t="s">
        <v>745</v>
      </c>
      <c r="C83" s="613" t="s">
        <v>691</v>
      </c>
    </row>
    <row r="84" spans="2:3" x14ac:dyDescent="0.2">
      <c r="B84" s="610" t="s">
        <v>746</v>
      </c>
      <c r="C84" s="613" t="s">
        <v>691</v>
      </c>
    </row>
    <row r="85" spans="2:3" x14ac:dyDescent="0.2">
      <c r="B85" s="610" t="s">
        <v>1003</v>
      </c>
      <c r="C85" s="613" t="s">
        <v>691</v>
      </c>
    </row>
    <row r="86" spans="2:3" x14ac:dyDescent="0.2">
      <c r="B86" s="610" t="s">
        <v>747</v>
      </c>
      <c r="C86" s="613" t="s">
        <v>691</v>
      </c>
    </row>
    <row r="87" spans="2:3" x14ac:dyDescent="0.2">
      <c r="B87" s="610" t="s">
        <v>748</v>
      </c>
      <c r="C87" s="613" t="s">
        <v>691</v>
      </c>
    </row>
    <row r="88" spans="2:3" x14ac:dyDescent="0.2">
      <c r="B88" s="610" t="s">
        <v>749</v>
      </c>
      <c r="C88" s="613" t="s">
        <v>691</v>
      </c>
    </row>
    <row r="89" spans="2:3" x14ac:dyDescent="0.2">
      <c r="B89" s="610" t="s">
        <v>750</v>
      </c>
      <c r="C89" s="613" t="s">
        <v>691</v>
      </c>
    </row>
    <row r="90" spans="2:3" x14ac:dyDescent="0.2">
      <c r="B90" s="610" t="s">
        <v>751</v>
      </c>
      <c r="C90" s="613" t="s">
        <v>691</v>
      </c>
    </row>
    <row r="91" spans="2:3" x14ac:dyDescent="0.2">
      <c r="B91" s="610" t="s">
        <v>752</v>
      </c>
      <c r="C91" s="613" t="s">
        <v>691</v>
      </c>
    </row>
    <row r="92" spans="2:3" x14ac:dyDescent="0.2">
      <c r="B92" s="610" t="s">
        <v>753</v>
      </c>
      <c r="C92" s="613" t="s">
        <v>691</v>
      </c>
    </row>
    <row r="93" spans="2:3" x14ac:dyDescent="0.2">
      <c r="B93" s="610" t="s">
        <v>754</v>
      </c>
      <c r="C93" s="613" t="s">
        <v>691</v>
      </c>
    </row>
    <row r="94" spans="2:3" x14ac:dyDescent="0.2">
      <c r="B94" s="610" t="s">
        <v>755</v>
      </c>
      <c r="C94" s="613" t="s">
        <v>691</v>
      </c>
    </row>
    <row r="95" spans="2:3" x14ac:dyDescent="0.2">
      <c r="B95" s="610" t="s">
        <v>756</v>
      </c>
      <c r="C95" s="613" t="s">
        <v>691</v>
      </c>
    </row>
    <row r="96" spans="2:3" x14ac:dyDescent="0.2">
      <c r="B96" s="610" t="s">
        <v>757</v>
      </c>
      <c r="C96" s="613" t="s">
        <v>691</v>
      </c>
    </row>
    <row r="97" spans="2:3" x14ac:dyDescent="0.2">
      <c r="B97" s="610" t="s">
        <v>758</v>
      </c>
      <c r="C97" s="613" t="s">
        <v>691</v>
      </c>
    </row>
    <row r="98" spans="2:3" x14ac:dyDescent="0.2">
      <c r="B98" s="610" t="s">
        <v>759</v>
      </c>
      <c r="C98" s="613" t="s">
        <v>691</v>
      </c>
    </row>
    <row r="99" spans="2:3" x14ac:dyDescent="0.2">
      <c r="B99" s="610" t="s">
        <v>760</v>
      </c>
      <c r="C99" s="613" t="s">
        <v>691</v>
      </c>
    </row>
    <row r="100" spans="2:3" x14ac:dyDescent="0.2">
      <c r="B100" s="610" t="s">
        <v>761</v>
      </c>
      <c r="C100" s="613" t="s">
        <v>691</v>
      </c>
    </row>
    <row r="101" spans="2:3" x14ac:dyDescent="0.2">
      <c r="B101" s="610" t="s">
        <v>762</v>
      </c>
      <c r="C101" s="613" t="s">
        <v>691</v>
      </c>
    </row>
    <row r="102" spans="2:3" x14ac:dyDescent="0.2">
      <c r="B102" s="610" t="s">
        <v>763</v>
      </c>
      <c r="C102" s="613" t="s">
        <v>691</v>
      </c>
    </row>
    <row r="103" spans="2:3" x14ac:dyDescent="0.2">
      <c r="B103" s="610" t="s">
        <v>764</v>
      </c>
      <c r="C103" s="613" t="s">
        <v>691</v>
      </c>
    </row>
    <row r="104" spans="2:3" x14ac:dyDescent="0.2">
      <c r="B104" s="610" t="s">
        <v>765</v>
      </c>
      <c r="C104" s="613" t="s">
        <v>691</v>
      </c>
    </row>
    <row r="105" spans="2:3" x14ac:dyDescent="0.2">
      <c r="B105" s="610" t="s">
        <v>766</v>
      </c>
      <c r="C105" s="613" t="s">
        <v>691</v>
      </c>
    </row>
    <row r="106" spans="2:3" x14ac:dyDescent="0.2">
      <c r="B106" s="610" t="s">
        <v>767</v>
      </c>
      <c r="C106" s="613" t="s">
        <v>691</v>
      </c>
    </row>
    <row r="107" spans="2:3" x14ac:dyDescent="0.2">
      <c r="B107" s="610" t="s">
        <v>768</v>
      </c>
      <c r="C107" s="613" t="s">
        <v>691</v>
      </c>
    </row>
    <row r="108" spans="2:3" x14ac:dyDescent="0.2">
      <c r="B108" s="610" t="s">
        <v>769</v>
      </c>
      <c r="C108" s="613" t="s">
        <v>691</v>
      </c>
    </row>
    <row r="109" spans="2:3" x14ac:dyDescent="0.2">
      <c r="B109" s="610" t="s">
        <v>770</v>
      </c>
      <c r="C109" s="613" t="s">
        <v>691</v>
      </c>
    </row>
    <row r="110" spans="2:3" x14ac:dyDescent="0.2">
      <c r="B110" s="610" t="s">
        <v>771</v>
      </c>
      <c r="C110" s="613" t="s">
        <v>691</v>
      </c>
    </row>
    <row r="111" spans="2:3" x14ac:dyDescent="0.2">
      <c r="B111" s="610" t="s">
        <v>772</v>
      </c>
      <c r="C111" s="613" t="s">
        <v>691</v>
      </c>
    </row>
    <row r="112" spans="2:3" x14ac:dyDescent="0.2">
      <c r="B112" s="610" t="s">
        <v>773</v>
      </c>
      <c r="C112" s="613" t="s">
        <v>691</v>
      </c>
    </row>
    <row r="113" spans="2:3" x14ac:dyDescent="0.2">
      <c r="B113" s="610" t="s">
        <v>774</v>
      </c>
      <c r="C113" s="613" t="s">
        <v>691</v>
      </c>
    </row>
    <row r="114" spans="2:3" x14ac:dyDescent="0.2">
      <c r="B114" s="610" t="s">
        <v>775</v>
      </c>
      <c r="C114" s="613" t="s">
        <v>691</v>
      </c>
    </row>
    <row r="115" spans="2:3" x14ac:dyDescent="0.2">
      <c r="B115" s="610" t="s">
        <v>776</v>
      </c>
      <c r="C115" s="611" t="s">
        <v>696</v>
      </c>
    </row>
    <row r="116" spans="2:3" x14ac:dyDescent="0.2">
      <c r="B116" s="610" t="s">
        <v>777</v>
      </c>
      <c r="C116" s="611" t="s">
        <v>696</v>
      </c>
    </row>
    <row r="117" spans="2:3" x14ac:dyDescent="0.2">
      <c r="B117" s="610" t="s">
        <v>778</v>
      </c>
      <c r="C117" s="611" t="s">
        <v>696</v>
      </c>
    </row>
    <row r="118" spans="2:3" x14ac:dyDescent="0.2">
      <c r="B118" s="610" t="s">
        <v>779</v>
      </c>
      <c r="C118" s="611" t="s">
        <v>696</v>
      </c>
    </row>
    <row r="119" spans="2:3" x14ac:dyDescent="0.2">
      <c r="B119" s="610" t="s">
        <v>780</v>
      </c>
      <c r="C119" s="611" t="s">
        <v>696</v>
      </c>
    </row>
    <row r="120" spans="2:3" x14ac:dyDescent="0.2">
      <c r="B120" s="610" t="s">
        <v>781</v>
      </c>
      <c r="C120" s="611" t="s">
        <v>696</v>
      </c>
    </row>
    <row r="121" spans="2:3" x14ac:dyDescent="0.2">
      <c r="B121" s="610" t="s">
        <v>782</v>
      </c>
      <c r="C121" s="611" t="s">
        <v>696</v>
      </c>
    </row>
    <row r="122" spans="2:3" x14ac:dyDescent="0.2">
      <c r="B122" s="610" t="s">
        <v>783</v>
      </c>
      <c r="C122" s="611" t="s">
        <v>696</v>
      </c>
    </row>
    <row r="123" spans="2:3" x14ac:dyDescent="0.2">
      <c r="B123" s="610" t="s">
        <v>784</v>
      </c>
      <c r="C123" s="611" t="s">
        <v>696</v>
      </c>
    </row>
    <row r="124" spans="2:3" x14ac:dyDescent="0.2">
      <c r="B124" s="610" t="s">
        <v>785</v>
      </c>
      <c r="C124" s="611" t="s">
        <v>696</v>
      </c>
    </row>
    <row r="125" spans="2:3" x14ac:dyDescent="0.2">
      <c r="B125" s="610" t="s">
        <v>786</v>
      </c>
      <c r="C125" s="611" t="s">
        <v>696</v>
      </c>
    </row>
    <row r="126" spans="2:3" x14ac:dyDescent="0.2">
      <c r="B126" s="610" t="s">
        <v>787</v>
      </c>
      <c r="C126" s="611" t="s">
        <v>696</v>
      </c>
    </row>
    <row r="127" spans="2:3" x14ac:dyDescent="0.2">
      <c r="B127" s="610" t="s">
        <v>788</v>
      </c>
      <c r="C127" s="611" t="s">
        <v>696</v>
      </c>
    </row>
    <row r="128" spans="2:3" x14ac:dyDescent="0.2">
      <c r="B128" s="610" t="s">
        <v>789</v>
      </c>
      <c r="C128" s="611" t="s">
        <v>696</v>
      </c>
    </row>
    <row r="129" spans="2:3" x14ac:dyDescent="0.2">
      <c r="B129" s="610" t="s">
        <v>790</v>
      </c>
      <c r="C129" s="611" t="s">
        <v>696</v>
      </c>
    </row>
    <row r="130" spans="2:3" x14ac:dyDescent="0.2">
      <c r="B130" s="610" t="s">
        <v>791</v>
      </c>
      <c r="C130" s="611" t="s">
        <v>696</v>
      </c>
    </row>
    <row r="131" spans="2:3" x14ac:dyDescent="0.2">
      <c r="B131" s="610" t="s">
        <v>792</v>
      </c>
      <c r="C131" s="611" t="s">
        <v>696</v>
      </c>
    </row>
    <row r="132" spans="2:3" x14ac:dyDescent="0.2">
      <c r="B132" s="610" t="s">
        <v>793</v>
      </c>
      <c r="C132" s="611" t="s">
        <v>696</v>
      </c>
    </row>
    <row r="133" spans="2:3" x14ac:dyDescent="0.2">
      <c r="B133" s="610" t="s">
        <v>794</v>
      </c>
      <c r="C133" s="611" t="s">
        <v>696</v>
      </c>
    </row>
    <row r="134" spans="2:3" x14ac:dyDescent="0.2">
      <c r="B134" s="610" t="s">
        <v>795</v>
      </c>
      <c r="C134" s="611" t="s">
        <v>696</v>
      </c>
    </row>
    <row r="135" spans="2:3" x14ac:dyDescent="0.2">
      <c r="B135" s="610" t="s">
        <v>796</v>
      </c>
      <c r="C135" s="613" t="s">
        <v>727</v>
      </c>
    </row>
    <row r="136" spans="2:3" x14ac:dyDescent="0.2">
      <c r="B136" s="610" t="s">
        <v>797</v>
      </c>
      <c r="C136" s="613" t="s">
        <v>727</v>
      </c>
    </row>
    <row r="137" spans="2:3" x14ac:dyDescent="0.2">
      <c r="B137" s="610" t="s">
        <v>798</v>
      </c>
      <c r="C137" s="613" t="s">
        <v>727</v>
      </c>
    </row>
    <row r="138" spans="2:3" x14ac:dyDescent="0.2">
      <c r="B138" s="610" t="s">
        <v>799</v>
      </c>
      <c r="C138" s="613" t="s">
        <v>727</v>
      </c>
    </row>
    <row r="139" spans="2:3" x14ac:dyDescent="0.2">
      <c r="B139" s="610" t="s">
        <v>800</v>
      </c>
      <c r="C139" s="613" t="s">
        <v>727</v>
      </c>
    </row>
    <row r="140" spans="2:3" x14ac:dyDescent="0.2">
      <c r="B140" s="610" t="s">
        <v>801</v>
      </c>
      <c r="C140" s="613" t="s">
        <v>727</v>
      </c>
    </row>
    <row r="141" spans="2:3" x14ac:dyDescent="0.2">
      <c r="B141" s="610" t="s">
        <v>802</v>
      </c>
      <c r="C141" s="613" t="s">
        <v>727</v>
      </c>
    </row>
    <row r="142" spans="2:3" x14ac:dyDescent="0.2">
      <c r="B142" s="610" t="s">
        <v>803</v>
      </c>
      <c r="C142" s="613" t="s">
        <v>727</v>
      </c>
    </row>
    <row r="143" spans="2:3" x14ac:dyDescent="0.2">
      <c r="B143" s="610" t="s">
        <v>804</v>
      </c>
      <c r="C143" s="613" t="s">
        <v>727</v>
      </c>
    </row>
    <row r="144" spans="2:3" x14ac:dyDescent="0.2">
      <c r="B144" s="610" t="s">
        <v>805</v>
      </c>
      <c r="C144" s="613" t="s">
        <v>727</v>
      </c>
    </row>
    <row r="145" spans="2:3" x14ac:dyDescent="0.2">
      <c r="B145" s="610" t="s">
        <v>806</v>
      </c>
      <c r="C145" s="613" t="s">
        <v>727</v>
      </c>
    </row>
    <row r="146" spans="2:3" x14ac:dyDescent="0.2">
      <c r="B146" s="610" t="s">
        <v>1004</v>
      </c>
      <c r="C146" s="613" t="s">
        <v>727</v>
      </c>
    </row>
    <row r="147" spans="2:3" x14ac:dyDescent="0.2">
      <c r="B147" s="610" t="s">
        <v>807</v>
      </c>
      <c r="C147" s="613" t="s">
        <v>1000</v>
      </c>
    </row>
    <row r="148" spans="2:3" x14ac:dyDescent="0.2">
      <c r="B148" s="610" t="s">
        <v>808</v>
      </c>
      <c r="C148" s="613" t="s">
        <v>1000</v>
      </c>
    </row>
    <row r="149" spans="2:3" x14ac:dyDescent="0.2">
      <c r="B149" s="610" t="s">
        <v>809</v>
      </c>
      <c r="C149" s="613" t="s">
        <v>1000</v>
      </c>
    </row>
    <row r="150" spans="2:3" x14ac:dyDescent="0.2">
      <c r="B150" s="610" t="s">
        <v>810</v>
      </c>
      <c r="C150" s="613" t="s">
        <v>1000</v>
      </c>
    </row>
    <row r="151" spans="2:3" x14ac:dyDescent="0.2">
      <c r="B151" s="610" t="s">
        <v>811</v>
      </c>
      <c r="C151" s="613" t="s">
        <v>1000</v>
      </c>
    </row>
    <row r="152" spans="2:3" x14ac:dyDescent="0.2">
      <c r="B152" s="610" t="s">
        <v>1005</v>
      </c>
      <c r="C152" s="613" t="s">
        <v>1000</v>
      </c>
    </row>
    <row r="153" spans="2:3" x14ac:dyDescent="0.2">
      <c r="B153" s="610" t="s">
        <v>812</v>
      </c>
      <c r="C153" s="613" t="s">
        <v>1000</v>
      </c>
    </row>
    <row r="154" spans="2:3" x14ac:dyDescent="0.2">
      <c r="B154" s="610" t="s">
        <v>813</v>
      </c>
      <c r="C154" s="613" t="s">
        <v>1000</v>
      </c>
    </row>
    <row r="155" spans="2:3" x14ac:dyDescent="0.2">
      <c r="B155" s="610" t="s">
        <v>814</v>
      </c>
      <c r="C155" s="613" t="s">
        <v>1000</v>
      </c>
    </row>
    <row r="156" spans="2:3" x14ac:dyDescent="0.2">
      <c r="B156" s="610" t="s">
        <v>815</v>
      </c>
      <c r="C156" s="613" t="s">
        <v>1000</v>
      </c>
    </row>
    <row r="157" spans="2:3" x14ac:dyDescent="0.2">
      <c r="B157" s="610" t="s">
        <v>816</v>
      </c>
      <c r="C157" s="613" t="s">
        <v>1000</v>
      </c>
    </row>
    <row r="158" spans="2:3" x14ac:dyDescent="0.2">
      <c r="B158" s="610" t="s">
        <v>817</v>
      </c>
      <c r="C158" s="613" t="s">
        <v>1000</v>
      </c>
    </row>
    <row r="159" spans="2:3" x14ac:dyDescent="0.2">
      <c r="B159" s="610" t="s">
        <v>818</v>
      </c>
      <c r="C159" s="613" t="s">
        <v>1000</v>
      </c>
    </row>
    <row r="160" spans="2:3" x14ac:dyDescent="0.2">
      <c r="B160" s="610" t="s">
        <v>819</v>
      </c>
      <c r="C160" s="613" t="s">
        <v>1000</v>
      </c>
    </row>
    <row r="161" spans="2:3" x14ac:dyDescent="0.2">
      <c r="B161" s="610" t="s">
        <v>820</v>
      </c>
      <c r="C161" s="613" t="s">
        <v>1000</v>
      </c>
    </row>
    <row r="162" spans="2:3" x14ac:dyDescent="0.2">
      <c r="B162" s="610" t="s">
        <v>821</v>
      </c>
      <c r="C162" s="613" t="s">
        <v>1000</v>
      </c>
    </row>
    <row r="163" spans="2:3" x14ac:dyDescent="0.2">
      <c r="B163" s="610" t="s">
        <v>822</v>
      </c>
      <c r="C163" s="613" t="s">
        <v>1000</v>
      </c>
    </row>
    <row r="164" spans="2:3" x14ac:dyDescent="0.2">
      <c r="B164" s="610" t="s">
        <v>823</v>
      </c>
      <c r="C164" s="613" t="s">
        <v>1000</v>
      </c>
    </row>
    <row r="165" spans="2:3" x14ac:dyDescent="0.2">
      <c r="B165" s="610" t="s">
        <v>824</v>
      </c>
      <c r="C165" s="613" t="s">
        <v>1000</v>
      </c>
    </row>
    <row r="166" spans="2:3" x14ac:dyDescent="0.2">
      <c r="B166" s="610" t="s">
        <v>825</v>
      </c>
      <c r="C166" s="613" t="s">
        <v>1000</v>
      </c>
    </row>
    <row r="167" spans="2:3" x14ac:dyDescent="0.2">
      <c r="B167" s="610" t="s">
        <v>826</v>
      </c>
      <c r="C167" s="613" t="s">
        <v>1000</v>
      </c>
    </row>
    <row r="168" spans="2:3" x14ac:dyDescent="0.2">
      <c r="B168" s="610" t="s">
        <v>827</v>
      </c>
      <c r="C168" s="613" t="s">
        <v>1000</v>
      </c>
    </row>
    <row r="169" spans="2:3" x14ac:dyDescent="0.2">
      <c r="B169" s="610" t="s">
        <v>828</v>
      </c>
      <c r="C169" s="613" t="s">
        <v>1000</v>
      </c>
    </row>
    <row r="170" spans="2:3" x14ac:dyDescent="0.2">
      <c r="B170" s="610" t="s">
        <v>829</v>
      </c>
      <c r="C170" s="613" t="s">
        <v>1000</v>
      </c>
    </row>
    <row r="171" spans="2:3" x14ac:dyDescent="0.2">
      <c r="B171" s="610" t="s">
        <v>830</v>
      </c>
      <c r="C171" s="613" t="s">
        <v>1000</v>
      </c>
    </row>
    <row r="172" spans="2:3" x14ac:dyDescent="0.2">
      <c r="B172" s="610" t="s">
        <v>831</v>
      </c>
      <c r="C172" s="613" t="s">
        <v>1000</v>
      </c>
    </row>
    <row r="173" spans="2:3" x14ac:dyDescent="0.2">
      <c r="B173" s="610" t="s">
        <v>832</v>
      </c>
      <c r="C173" s="613" t="s">
        <v>1000</v>
      </c>
    </row>
    <row r="174" spans="2:3" x14ac:dyDescent="0.2">
      <c r="B174" s="610" t="s">
        <v>833</v>
      </c>
      <c r="C174" s="613" t="s">
        <v>1000</v>
      </c>
    </row>
    <row r="175" spans="2:3" x14ac:dyDescent="0.2">
      <c r="B175" s="610" t="s">
        <v>834</v>
      </c>
      <c r="C175" s="613" t="s">
        <v>1000</v>
      </c>
    </row>
    <row r="176" spans="2:3" x14ac:dyDescent="0.2">
      <c r="B176" s="610" t="s">
        <v>835</v>
      </c>
      <c r="C176" s="613" t="s">
        <v>1000</v>
      </c>
    </row>
    <row r="177" spans="2:3" x14ac:dyDescent="0.2">
      <c r="B177" s="610" t="s">
        <v>836</v>
      </c>
      <c r="C177" s="613" t="s">
        <v>1000</v>
      </c>
    </row>
    <row r="178" spans="2:3" x14ac:dyDescent="0.2">
      <c r="B178" s="610" t="s">
        <v>837</v>
      </c>
      <c r="C178" s="613" t="s">
        <v>1000</v>
      </c>
    </row>
    <row r="179" spans="2:3" x14ac:dyDescent="0.2">
      <c r="B179" s="610" t="s">
        <v>838</v>
      </c>
      <c r="C179" s="613" t="s">
        <v>1000</v>
      </c>
    </row>
    <row r="180" spans="2:3" x14ac:dyDescent="0.2">
      <c r="B180" s="610" t="s">
        <v>1006</v>
      </c>
      <c r="C180" s="613" t="s">
        <v>1000</v>
      </c>
    </row>
    <row r="181" spans="2:3" x14ac:dyDescent="0.2">
      <c r="B181" s="610" t="s">
        <v>839</v>
      </c>
      <c r="C181" s="613" t="s">
        <v>1000</v>
      </c>
    </row>
    <row r="182" spans="2:3" x14ac:dyDescent="0.2">
      <c r="B182" s="610" t="s">
        <v>840</v>
      </c>
      <c r="C182" s="613" t="s">
        <v>1000</v>
      </c>
    </row>
    <row r="183" spans="2:3" x14ac:dyDescent="0.2">
      <c r="B183" s="610" t="s">
        <v>1007</v>
      </c>
      <c r="C183" s="613" t="s">
        <v>1000</v>
      </c>
    </row>
    <row r="184" spans="2:3" x14ac:dyDescent="0.2">
      <c r="B184" s="610" t="s">
        <v>841</v>
      </c>
      <c r="C184" s="613" t="s">
        <v>1000</v>
      </c>
    </row>
    <row r="185" spans="2:3" x14ac:dyDescent="0.2">
      <c r="B185" s="610" t="s">
        <v>842</v>
      </c>
      <c r="C185" s="613" t="s">
        <v>1000</v>
      </c>
    </row>
    <row r="186" spans="2:3" x14ac:dyDescent="0.2">
      <c r="B186" s="610" t="s">
        <v>1008</v>
      </c>
      <c r="C186" s="613" t="s">
        <v>1000</v>
      </c>
    </row>
    <row r="187" spans="2:3" x14ac:dyDescent="0.2">
      <c r="B187" s="610" t="s">
        <v>843</v>
      </c>
      <c r="C187" s="613" t="s">
        <v>1000</v>
      </c>
    </row>
    <row r="188" spans="2:3" x14ac:dyDescent="0.2">
      <c r="B188" s="610" t="s">
        <v>844</v>
      </c>
      <c r="C188" s="613" t="s">
        <v>1000</v>
      </c>
    </row>
    <row r="189" spans="2:3" x14ac:dyDescent="0.2">
      <c r="B189" s="610" t="s">
        <v>845</v>
      </c>
      <c r="C189" s="613" t="s">
        <v>1000</v>
      </c>
    </row>
    <row r="190" spans="2:3" x14ac:dyDescent="0.2">
      <c r="B190" s="610" t="s">
        <v>846</v>
      </c>
      <c r="C190" s="613" t="s">
        <v>1000</v>
      </c>
    </row>
    <row r="191" spans="2:3" x14ac:dyDescent="0.2">
      <c r="B191" s="610" t="s">
        <v>847</v>
      </c>
      <c r="C191" s="613" t="s">
        <v>1000</v>
      </c>
    </row>
    <row r="192" spans="2:3" x14ac:dyDescent="0.2">
      <c r="B192" s="610" t="s">
        <v>848</v>
      </c>
      <c r="C192" s="613" t="s">
        <v>1000</v>
      </c>
    </row>
    <row r="193" spans="2:3" x14ac:dyDescent="0.2">
      <c r="B193" s="610" t="s">
        <v>849</v>
      </c>
      <c r="C193" s="613" t="s">
        <v>1000</v>
      </c>
    </row>
    <row r="194" spans="2:3" x14ac:dyDescent="0.2">
      <c r="B194" s="610" t="s">
        <v>850</v>
      </c>
      <c r="C194" s="613" t="s">
        <v>1000</v>
      </c>
    </row>
    <row r="195" spans="2:3" x14ac:dyDescent="0.2">
      <c r="B195" s="610" t="s">
        <v>851</v>
      </c>
      <c r="C195" s="613" t="s">
        <v>1000</v>
      </c>
    </row>
    <row r="196" spans="2:3" x14ac:dyDescent="0.2">
      <c r="B196" s="610" t="s">
        <v>852</v>
      </c>
      <c r="C196" s="613" t="s">
        <v>1000</v>
      </c>
    </row>
    <row r="197" spans="2:3" x14ac:dyDescent="0.2">
      <c r="B197" s="610" t="s">
        <v>853</v>
      </c>
      <c r="C197" s="613" t="s">
        <v>1000</v>
      </c>
    </row>
    <row r="198" spans="2:3" x14ac:dyDescent="0.2">
      <c r="B198" s="610" t="s">
        <v>854</v>
      </c>
      <c r="C198" s="613" t="s">
        <v>716</v>
      </c>
    </row>
    <row r="199" spans="2:3" x14ac:dyDescent="0.2">
      <c r="B199" s="610" t="s">
        <v>855</v>
      </c>
      <c r="C199" s="613" t="s">
        <v>716</v>
      </c>
    </row>
    <row r="200" spans="2:3" x14ac:dyDescent="0.2">
      <c r="B200" s="610" t="s">
        <v>856</v>
      </c>
      <c r="C200" s="613" t="s">
        <v>716</v>
      </c>
    </row>
    <row r="201" spans="2:3" x14ac:dyDescent="0.2">
      <c r="B201" s="610" t="s">
        <v>857</v>
      </c>
      <c r="C201" s="613" t="s">
        <v>716</v>
      </c>
    </row>
    <row r="202" spans="2:3" x14ac:dyDescent="0.2">
      <c r="B202" s="610" t="s">
        <v>858</v>
      </c>
      <c r="C202" s="613" t="s">
        <v>716</v>
      </c>
    </row>
    <row r="203" spans="2:3" x14ac:dyDescent="0.2">
      <c r="B203" s="610" t="s">
        <v>859</v>
      </c>
      <c r="C203" s="613" t="s">
        <v>716</v>
      </c>
    </row>
    <row r="204" spans="2:3" x14ac:dyDescent="0.2">
      <c r="B204" s="610" t="s">
        <v>860</v>
      </c>
      <c r="C204" s="613" t="s">
        <v>716</v>
      </c>
    </row>
    <row r="205" spans="2:3" x14ac:dyDescent="0.2">
      <c r="B205" s="610" t="s">
        <v>861</v>
      </c>
      <c r="C205" s="613" t="s">
        <v>716</v>
      </c>
    </row>
    <row r="206" spans="2:3" x14ac:dyDescent="0.2">
      <c r="B206" s="610" t="s">
        <v>862</v>
      </c>
      <c r="C206" s="613" t="s">
        <v>716</v>
      </c>
    </row>
    <row r="207" spans="2:3" x14ac:dyDescent="0.2">
      <c r="B207" s="610" t="s">
        <v>863</v>
      </c>
      <c r="C207" s="613" t="s">
        <v>716</v>
      </c>
    </row>
    <row r="208" spans="2:3" x14ac:dyDescent="0.2">
      <c r="B208" s="610" t="s">
        <v>864</v>
      </c>
      <c r="C208" s="613" t="s">
        <v>716</v>
      </c>
    </row>
    <row r="209" spans="2:3" x14ac:dyDescent="0.2">
      <c r="B209" s="610" t="s">
        <v>865</v>
      </c>
      <c r="C209" s="613" t="s">
        <v>716</v>
      </c>
    </row>
    <row r="210" spans="2:3" x14ac:dyDescent="0.2">
      <c r="B210" s="610" t="s">
        <v>866</v>
      </c>
      <c r="C210" s="613" t="s">
        <v>716</v>
      </c>
    </row>
    <row r="211" spans="2:3" x14ac:dyDescent="0.2">
      <c r="B211" s="610" t="s">
        <v>867</v>
      </c>
      <c r="C211" s="613" t="s">
        <v>716</v>
      </c>
    </row>
    <row r="212" spans="2:3" x14ac:dyDescent="0.2">
      <c r="B212" s="610" t="s">
        <v>868</v>
      </c>
      <c r="C212" s="613" t="s">
        <v>716</v>
      </c>
    </row>
    <row r="213" spans="2:3" x14ac:dyDescent="0.2">
      <c r="B213" s="610" t="s">
        <v>869</v>
      </c>
      <c r="C213" s="613" t="s">
        <v>716</v>
      </c>
    </row>
    <row r="214" spans="2:3" x14ac:dyDescent="0.2">
      <c r="B214" s="610" t="s">
        <v>870</v>
      </c>
      <c r="C214" s="613" t="s">
        <v>716</v>
      </c>
    </row>
    <row r="215" spans="2:3" x14ac:dyDescent="0.2">
      <c r="B215" s="610" t="s">
        <v>871</v>
      </c>
      <c r="C215" s="613" t="s">
        <v>716</v>
      </c>
    </row>
    <row r="216" spans="2:3" x14ac:dyDescent="0.2">
      <c r="B216" s="610" t="s">
        <v>872</v>
      </c>
      <c r="C216" s="613" t="s">
        <v>716</v>
      </c>
    </row>
    <row r="217" spans="2:3" x14ac:dyDescent="0.2">
      <c r="B217" s="610" t="s">
        <v>873</v>
      </c>
      <c r="C217" s="613" t="s">
        <v>716</v>
      </c>
    </row>
    <row r="218" spans="2:3" x14ac:dyDescent="0.2">
      <c r="B218" s="610" t="s">
        <v>1009</v>
      </c>
      <c r="C218" s="613" t="s">
        <v>716</v>
      </c>
    </row>
    <row r="219" spans="2:3" x14ac:dyDescent="0.2">
      <c r="B219" s="610" t="s">
        <v>874</v>
      </c>
      <c r="C219" s="613" t="s">
        <v>716</v>
      </c>
    </row>
    <row r="220" spans="2:3" x14ac:dyDescent="0.2">
      <c r="B220" s="610" t="s">
        <v>1010</v>
      </c>
      <c r="C220" s="613" t="s">
        <v>716</v>
      </c>
    </row>
    <row r="221" spans="2:3" x14ac:dyDescent="0.2">
      <c r="B221" s="610" t="s">
        <v>875</v>
      </c>
      <c r="C221" s="613" t="s">
        <v>716</v>
      </c>
    </row>
    <row r="222" spans="2:3" x14ac:dyDescent="0.2">
      <c r="B222" s="610" t="s">
        <v>876</v>
      </c>
      <c r="C222" s="613" t="s">
        <v>716</v>
      </c>
    </row>
    <row r="223" spans="2:3" x14ac:dyDescent="0.2">
      <c r="B223" s="610" t="s">
        <v>877</v>
      </c>
      <c r="C223" s="613" t="s">
        <v>712</v>
      </c>
    </row>
    <row r="224" spans="2:3" x14ac:dyDescent="0.2">
      <c r="B224" s="610" t="s">
        <v>878</v>
      </c>
      <c r="C224" s="613" t="s">
        <v>712</v>
      </c>
    </row>
    <row r="225" spans="2:3" x14ac:dyDescent="0.2">
      <c r="B225" s="610" t="s">
        <v>879</v>
      </c>
      <c r="C225" s="613" t="s">
        <v>712</v>
      </c>
    </row>
    <row r="226" spans="2:3" x14ac:dyDescent="0.2">
      <c r="B226" s="610" t="s">
        <v>1011</v>
      </c>
      <c r="C226" s="613" t="s">
        <v>712</v>
      </c>
    </row>
    <row r="227" spans="2:3" x14ac:dyDescent="0.2">
      <c r="B227" s="610" t="s">
        <v>880</v>
      </c>
      <c r="C227" s="613" t="s">
        <v>712</v>
      </c>
    </row>
    <row r="228" spans="2:3" x14ac:dyDescent="0.2">
      <c r="B228" s="610" t="s">
        <v>881</v>
      </c>
      <c r="C228" s="613" t="s">
        <v>712</v>
      </c>
    </row>
    <row r="229" spans="2:3" x14ac:dyDescent="0.2">
      <c r="B229" s="610" t="s">
        <v>882</v>
      </c>
      <c r="C229" s="613" t="s">
        <v>712</v>
      </c>
    </row>
    <row r="230" spans="2:3" x14ac:dyDescent="0.2">
      <c r="B230" s="610" t="s">
        <v>1012</v>
      </c>
      <c r="C230" s="613" t="s">
        <v>712</v>
      </c>
    </row>
    <row r="231" spans="2:3" x14ac:dyDescent="0.2">
      <c r="B231" s="610" t="s">
        <v>1013</v>
      </c>
      <c r="C231" s="613" t="s">
        <v>712</v>
      </c>
    </row>
    <row r="232" spans="2:3" x14ac:dyDescent="0.2">
      <c r="B232" s="610" t="s">
        <v>883</v>
      </c>
      <c r="C232" s="613" t="s">
        <v>712</v>
      </c>
    </row>
    <row r="233" spans="2:3" x14ac:dyDescent="0.2">
      <c r="B233" s="610" t="s">
        <v>884</v>
      </c>
      <c r="C233" s="613" t="s">
        <v>712</v>
      </c>
    </row>
    <row r="234" spans="2:3" x14ac:dyDescent="0.2">
      <c r="B234" s="610" t="s">
        <v>885</v>
      </c>
      <c r="C234" s="613" t="s">
        <v>712</v>
      </c>
    </row>
    <row r="235" spans="2:3" x14ac:dyDescent="0.2">
      <c r="B235" s="610" t="s">
        <v>886</v>
      </c>
      <c r="C235" s="613" t="s">
        <v>712</v>
      </c>
    </row>
    <row r="236" spans="2:3" x14ac:dyDescent="0.2">
      <c r="B236" s="610" t="s">
        <v>887</v>
      </c>
      <c r="C236" s="613" t="s">
        <v>712</v>
      </c>
    </row>
    <row r="237" spans="2:3" x14ac:dyDescent="0.2">
      <c r="B237" s="610" t="s">
        <v>888</v>
      </c>
      <c r="C237" s="613" t="s">
        <v>712</v>
      </c>
    </row>
    <row r="238" spans="2:3" x14ac:dyDescent="0.2">
      <c r="B238" s="610" t="s">
        <v>889</v>
      </c>
      <c r="C238" s="613" t="s">
        <v>712</v>
      </c>
    </row>
    <row r="239" spans="2:3" x14ac:dyDescent="0.2">
      <c r="B239" s="610" t="s">
        <v>890</v>
      </c>
      <c r="C239" s="613" t="s">
        <v>712</v>
      </c>
    </row>
    <row r="240" spans="2:3" x14ac:dyDescent="0.2">
      <c r="B240" s="610" t="s">
        <v>891</v>
      </c>
      <c r="C240" s="613" t="s">
        <v>712</v>
      </c>
    </row>
    <row r="241" spans="2:3" x14ac:dyDescent="0.2">
      <c r="B241" s="610" t="s">
        <v>892</v>
      </c>
      <c r="C241" s="613" t="s">
        <v>730</v>
      </c>
    </row>
    <row r="242" spans="2:3" x14ac:dyDescent="0.2">
      <c r="B242" s="610" t="s">
        <v>893</v>
      </c>
      <c r="C242" s="613" t="s">
        <v>730</v>
      </c>
    </row>
    <row r="243" spans="2:3" x14ac:dyDescent="0.2">
      <c r="B243" s="610" t="s">
        <v>894</v>
      </c>
      <c r="C243" s="613" t="s">
        <v>730</v>
      </c>
    </row>
    <row r="244" spans="2:3" x14ac:dyDescent="0.2">
      <c r="B244" s="610" t="s">
        <v>895</v>
      </c>
      <c r="C244" s="613" t="s">
        <v>730</v>
      </c>
    </row>
    <row r="245" spans="2:3" x14ac:dyDescent="0.2">
      <c r="B245" s="610" t="s">
        <v>896</v>
      </c>
      <c r="C245" s="613" t="s">
        <v>730</v>
      </c>
    </row>
    <row r="246" spans="2:3" x14ac:dyDescent="0.2">
      <c r="B246" s="610" t="s">
        <v>897</v>
      </c>
      <c r="C246" s="613" t="s">
        <v>730</v>
      </c>
    </row>
    <row r="247" spans="2:3" x14ac:dyDescent="0.2">
      <c r="B247" s="610" t="s">
        <v>898</v>
      </c>
      <c r="C247" s="613" t="s">
        <v>730</v>
      </c>
    </row>
    <row r="248" spans="2:3" x14ac:dyDescent="0.2">
      <c r="B248" s="610" t="s">
        <v>899</v>
      </c>
      <c r="C248" s="613" t="s">
        <v>730</v>
      </c>
    </row>
    <row r="249" spans="2:3" x14ac:dyDescent="0.2">
      <c r="B249" s="610" t="s">
        <v>900</v>
      </c>
      <c r="C249" s="613" t="s">
        <v>730</v>
      </c>
    </row>
    <row r="250" spans="2:3" x14ac:dyDescent="0.2">
      <c r="B250" s="610" t="s">
        <v>901</v>
      </c>
      <c r="C250" s="613" t="s">
        <v>730</v>
      </c>
    </row>
    <row r="251" spans="2:3" x14ac:dyDescent="0.2">
      <c r="B251" s="610" t="s">
        <v>902</v>
      </c>
      <c r="C251" s="613" t="s">
        <v>730</v>
      </c>
    </row>
    <row r="252" spans="2:3" x14ac:dyDescent="0.2">
      <c r="B252" s="610" t="s">
        <v>903</v>
      </c>
      <c r="C252" s="613" t="s">
        <v>730</v>
      </c>
    </row>
    <row r="253" spans="2:3" x14ac:dyDescent="0.2">
      <c r="B253" s="610" t="s">
        <v>904</v>
      </c>
      <c r="C253" s="613" t="s">
        <v>730</v>
      </c>
    </row>
    <row r="254" spans="2:3" x14ac:dyDescent="0.2">
      <c r="B254" s="610" t="s">
        <v>905</v>
      </c>
      <c r="C254" s="613" t="s">
        <v>730</v>
      </c>
    </row>
    <row r="255" spans="2:3" x14ac:dyDescent="0.2">
      <c r="B255" s="610" t="s">
        <v>906</v>
      </c>
      <c r="C255" s="613" t="s">
        <v>730</v>
      </c>
    </row>
    <row r="256" spans="2:3" x14ac:dyDescent="0.2">
      <c r="B256" s="610" t="s">
        <v>907</v>
      </c>
      <c r="C256" s="613" t="s">
        <v>730</v>
      </c>
    </row>
    <row r="257" spans="2:3" x14ac:dyDescent="0.2">
      <c r="B257" s="610" t="s">
        <v>908</v>
      </c>
      <c r="C257" s="613" t="s">
        <v>730</v>
      </c>
    </row>
    <row r="258" spans="2:3" x14ac:dyDescent="0.2">
      <c r="B258" s="610" t="s">
        <v>909</v>
      </c>
      <c r="C258" s="613" t="s">
        <v>730</v>
      </c>
    </row>
    <row r="259" spans="2:3" x14ac:dyDescent="0.2">
      <c r="B259" s="610" t="s">
        <v>910</v>
      </c>
      <c r="C259" s="613" t="s">
        <v>730</v>
      </c>
    </row>
    <row r="260" spans="2:3" x14ac:dyDescent="0.2">
      <c r="B260" s="610" t="s">
        <v>911</v>
      </c>
      <c r="C260" s="613" t="s">
        <v>730</v>
      </c>
    </row>
    <row r="261" spans="2:3" x14ac:dyDescent="0.2">
      <c r="B261" s="610" t="s">
        <v>912</v>
      </c>
      <c r="C261" s="613" t="s">
        <v>730</v>
      </c>
    </row>
    <row r="262" spans="2:3" x14ac:dyDescent="0.2">
      <c r="B262" s="610" t="s">
        <v>913</v>
      </c>
      <c r="C262" s="613" t="s">
        <v>730</v>
      </c>
    </row>
    <row r="263" spans="2:3" x14ac:dyDescent="0.2">
      <c r="B263" s="610" t="s">
        <v>914</v>
      </c>
      <c r="C263" s="613" t="s">
        <v>730</v>
      </c>
    </row>
    <row r="264" spans="2:3" x14ac:dyDescent="0.2">
      <c r="B264" s="610" t="s">
        <v>915</v>
      </c>
      <c r="C264" s="613" t="s">
        <v>730</v>
      </c>
    </row>
    <row r="265" spans="2:3" x14ac:dyDescent="0.2">
      <c r="B265" s="610" t="s">
        <v>1014</v>
      </c>
      <c r="C265" s="613" t="s">
        <v>730</v>
      </c>
    </row>
    <row r="266" spans="2:3" x14ac:dyDescent="0.2">
      <c r="B266" s="610" t="s">
        <v>916</v>
      </c>
      <c r="C266" s="613" t="s">
        <v>730</v>
      </c>
    </row>
    <row r="267" spans="2:3" x14ac:dyDescent="0.2">
      <c r="B267" s="610" t="s">
        <v>917</v>
      </c>
      <c r="C267" s="613" t="s">
        <v>730</v>
      </c>
    </row>
    <row r="268" spans="2:3" x14ac:dyDescent="0.2">
      <c r="B268" s="610" t="s">
        <v>918</v>
      </c>
      <c r="C268" s="613" t="s">
        <v>721</v>
      </c>
    </row>
    <row r="269" spans="2:3" x14ac:dyDescent="0.2">
      <c r="B269" s="610" t="s">
        <v>919</v>
      </c>
      <c r="C269" s="613" t="s">
        <v>721</v>
      </c>
    </row>
    <row r="270" spans="2:3" x14ac:dyDescent="0.2">
      <c r="B270" s="610" t="s">
        <v>920</v>
      </c>
      <c r="C270" s="613" t="s">
        <v>721</v>
      </c>
    </row>
    <row r="271" spans="2:3" x14ac:dyDescent="0.2">
      <c r="B271" s="610" t="s">
        <v>921</v>
      </c>
      <c r="C271" s="613" t="s">
        <v>721</v>
      </c>
    </row>
    <row r="272" spans="2:3" x14ac:dyDescent="0.2">
      <c r="B272" s="610" t="s">
        <v>922</v>
      </c>
      <c r="C272" s="613" t="s">
        <v>721</v>
      </c>
    </row>
    <row r="273" spans="2:3" x14ac:dyDescent="0.2">
      <c r="B273" s="610" t="s">
        <v>923</v>
      </c>
      <c r="C273" s="613" t="s">
        <v>721</v>
      </c>
    </row>
    <row r="274" spans="2:3" x14ac:dyDescent="0.2">
      <c r="B274" s="610" t="s">
        <v>924</v>
      </c>
      <c r="C274" s="613" t="s">
        <v>721</v>
      </c>
    </row>
    <row r="275" spans="2:3" x14ac:dyDescent="0.2">
      <c r="B275" s="610" t="s">
        <v>925</v>
      </c>
      <c r="C275" s="613" t="s">
        <v>721</v>
      </c>
    </row>
    <row r="276" spans="2:3" x14ac:dyDescent="0.2">
      <c r="B276" s="610" t="s">
        <v>926</v>
      </c>
      <c r="C276" s="613" t="s">
        <v>721</v>
      </c>
    </row>
    <row r="277" spans="2:3" x14ac:dyDescent="0.2">
      <c r="B277" s="610" t="s">
        <v>927</v>
      </c>
      <c r="C277" s="613" t="s">
        <v>721</v>
      </c>
    </row>
    <row r="278" spans="2:3" x14ac:dyDescent="0.2">
      <c r="B278" s="610" t="s">
        <v>928</v>
      </c>
      <c r="C278" s="613" t="s">
        <v>721</v>
      </c>
    </row>
    <row r="279" spans="2:3" x14ac:dyDescent="0.2">
      <c r="B279" s="610" t="s">
        <v>929</v>
      </c>
      <c r="C279" s="613" t="s">
        <v>721</v>
      </c>
    </row>
    <row r="280" spans="2:3" x14ac:dyDescent="0.2">
      <c r="B280" s="610" t="s">
        <v>930</v>
      </c>
      <c r="C280" s="613" t="s">
        <v>721</v>
      </c>
    </row>
    <row r="281" spans="2:3" x14ac:dyDescent="0.2">
      <c r="B281" s="610" t="s">
        <v>931</v>
      </c>
      <c r="C281" s="613" t="s">
        <v>721</v>
      </c>
    </row>
    <row r="282" spans="2:3" x14ac:dyDescent="0.2">
      <c r="B282" s="610" t="s">
        <v>932</v>
      </c>
      <c r="C282" s="613" t="s">
        <v>721</v>
      </c>
    </row>
    <row r="283" spans="2:3" x14ac:dyDescent="0.2">
      <c r="B283" s="610" t="s">
        <v>933</v>
      </c>
      <c r="C283" s="613" t="s">
        <v>721</v>
      </c>
    </row>
    <row r="284" spans="2:3" x14ac:dyDescent="0.2">
      <c r="B284" s="610" t="s">
        <v>934</v>
      </c>
      <c r="C284" s="613" t="s">
        <v>721</v>
      </c>
    </row>
    <row r="285" spans="2:3" x14ac:dyDescent="0.2">
      <c r="B285" s="610" t="s">
        <v>935</v>
      </c>
      <c r="C285" s="613" t="s">
        <v>721</v>
      </c>
    </row>
    <row r="286" spans="2:3" x14ac:dyDescent="0.2">
      <c r="B286" s="610" t="s">
        <v>936</v>
      </c>
      <c r="C286" s="613" t="s">
        <v>721</v>
      </c>
    </row>
    <row r="287" spans="2:3" x14ac:dyDescent="0.2">
      <c r="B287" s="610" t="s">
        <v>937</v>
      </c>
      <c r="C287" s="613" t="s">
        <v>721</v>
      </c>
    </row>
    <row r="288" spans="2:3" x14ac:dyDescent="0.2">
      <c r="B288" s="610" t="s">
        <v>1015</v>
      </c>
      <c r="C288" s="613" t="s">
        <v>689</v>
      </c>
    </row>
    <row r="289" spans="2:3" x14ac:dyDescent="0.2">
      <c r="B289" s="610" t="s">
        <v>938</v>
      </c>
      <c r="C289" s="613" t="s">
        <v>689</v>
      </c>
    </row>
    <row r="290" spans="2:3" x14ac:dyDescent="0.2">
      <c r="B290" s="610" t="s">
        <v>939</v>
      </c>
      <c r="C290" s="613" t="s">
        <v>689</v>
      </c>
    </row>
    <row r="291" spans="2:3" x14ac:dyDescent="0.2">
      <c r="B291" s="610" t="s">
        <v>940</v>
      </c>
      <c r="C291" s="613" t="s">
        <v>689</v>
      </c>
    </row>
    <row r="292" spans="2:3" x14ac:dyDescent="0.2">
      <c r="B292" s="610" t="s">
        <v>941</v>
      </c>
      <c r="C292" s="613" t="s">
        <v>689</v>
      </c>
    </row>
    <row r="293" spans="2:3" x14ac:dyDescent="0.2">
      <c r="B293" s="610" t="s">
        <v>942</v>
      </c>
      <c r="C293" s="613" t="s">
        <v>689</v>
      </c>
    </row>
    <row r="294" spans="2:3" x14ac:dyDescent="0.2">
      <c r="B294" s="610" t="s">
        <v>943</v>
      </c>
      <c r="C294" s="613" t="s">
        <v>689</v>
      </c>
    </row>
    <row r="295" spans="2:3" x14ac:dyDescent="0.2">
      <c r="B295" s="610" t="s">
        <v>944</v>
      </c>
      <c r="C295" s="613" t="s">
        <v>689</v>
      </c>
    </row>
    <row r="296" spans="2:3" x14ac:dyDescent="0.2">
      <c r="B296" s="610" t="s">
        <v>945</v>
      </c>
      <c r="C296" s="613" t="s">
        <v>689</v>
      </c>
    </row>
    <row r="297" spans="2:3" x14ac:dyDescent="0.2">
      <c r="B297" s="610" t="s">
        <v>946</v>
      </c>
      <c r="C297" s="613" t="s">
        <v>689</v>
      </c>
    </row>
    <row r="298" spans="2:3" x14ac:dyDescent="0.2">
      <c r="B298" s="610" t="s">
        <v>1016</v>
      </c>
      <c r="C298" s="613" t="s">
        <v>689</v>
      </c>
    </row>
    <row r="299" spans="2:3" x14ac:dyDescent="0.2">
      <c r="B299" s="610" t="s">
        <v>947</v>
      </c>
      <c r="C299" s="613" t="s">
        <v>689</v>
      </c>
    </row>
    <row r="300" spans="2:3" x14ac:dyDescent="0.2">
      <c r="B300" s="610" t="s">
        <v>948</v>
      </c>
      <c r="C300" s="613" t="s">
        <v>689</v>
      </c>
    </row>
    <row r="301" spans="2:3" x14ac:dyDescent="0.2">
      <c r="B301" s="610" t="s">
        <v>949</v>
      </c>
      <c r="C301" s="613" t="s">
        <v>689</v>
      </c>
    </row>
    <row r="302" spans="2:3" x14ac:dyDescent="0.2">
      <c r="B302" s="610" t="s">
        <v>950</v>
      </c>
      <c r="C302" s="613" t="s">
        <v>689</v>
      </c>
    </row>
    <row r="303" spans="2:3" x14ac:dyDescent="0.2">
      <c r="B303" s="610" t="s">
        <v>951</v>
      </c>
      <c r="C303" s="613" t="s">
        <v>689</v>
      </c>
    </row>
    <row r="304" spans="2:3" x14ac:dyDescent="0.2">
      <c r="B304" s="610" t="s">
        <v>952</v>
      </c>
      <c r="C304" s="613" t="s">
        <v>689</v>
      </c>
    </row>
    <row r="305" spans="2:3" x14ac:dyDescent="0.2">
      <c r="B305" s="610" t="s">
        <v>953</v>
      </c>
      <c r="C305" s="613" t="s">
        <v>689</v>
      </c>
    </row>
    <row r="306" spans="2:3" x14ac:dyDescent="0.2">
      <c r="B306" s="610" t="s">
        <v>954</v>
      </c>
      <c r="C306" s="613" t="s">
        <v>689</v>
      </c>
    </row>
    <row r="307" spans="2:3" x14ac:dyDescent="0.2">
      <c r="B307" s="610" t="s">
        <v>955</v>
      </c>
      <c r="C307" s="613" t="s">
        <v>689</v>
      </c>
    </row>
    <row r="308" spans="2:3" x14ac:dyDescent="0.2">
      <c r="B308" s="610" t="s">
        <v>956</v>
      </c>
      <c r="C308" s="613" t="s">
        <v>689</v>
      </c>
    </row>
    <row r="309" spans="2:3" x14ac:dyDescent="0.2">
      <c r="B309" s="610" t="s">
        <v>957</v>
      </c>
      <c r="C309" s="613" t="s">
        <v>689</v>
      </c>
    </row>
    <row r="310" spans="2:3" x14ac:dyDescent="0.2">
      <c r="B310" s="610" t="s">
        <v>958</v>
      </c>
      <c r="C310" s="613" t="s">
        <v>689</v>
      </c>
    </row>
    <row r="311" spans="2:3" x14ac:dyDescent="0.2">
      <c r="B311" s="610" t="s">
        <v>959</v>
      </c>
      <c r="C311" s="613" t="s">
        <v>689</v>
      </c>
    </row>
    <row r="312" spans="2:3" x14ac:dyDescent="0.2">
      <c r="B312" s="610" t="s">
        <v>960</v>
      </c>
      <c r="C312" s="613" t="s">
        <v>689</v>
      </c>
    </row>
  </sheetData>
  <phoneticPr fontId="2"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1">
    <tabColor rgb="FF99CCFF"/>
    <pageSetUpPr fitToPage="1"/>
  </sheetPr>
  <dimension ref="A1:K46"/>
  <sheetViews>
    <sheetView showGridLines="0" workbookViewId="0">
      <pane xSplit="1" ySplit="3" topLeftCell="B4" activePane="bottomRight" state="frozen"/>
      <selection activeCell="G21" sqref="G21"/>
      <selection pane="topRight" activeCell="G21" sqref="G21"/>
      <selection pane="bottomLeft" activeCell="G21" sqref="G21"/>
      <selection pane="bottomRight" activeCell="C7" sqref="C7"/>
    </sheetView>
  </sheetViews>
  <sheetFormatPr defaultRowHeight="12.75" x14ac:dyDescent="0.25"/>
  <cols>
    <col min="1" max="1" width="30.85546875" style="20" customWidth="1"/>
    <col min="2" max="11" width="8.7109375" style="20" customWidth="1"/>
    <col min="12" max="14" width="7.7109375" style="20" customWidth="1"/>
    <col min="15" max="16384" width="9.140625" style="20"/>
  </cols>
  <sheetData>
    <row r="1" spans="1:10" ht="13.5" x14ac:dyDescent="0.25">
      <c r="A1" s="113" t="str">
        <f>MEBsum</f>
        <v>Greater Tzaneen Economic Development Agency (GTEDA) - Table D1 Budget Summary</v>
      </c>
    </row>
    <row r="2" spans="1:10" ht="31.5" customHeight="1" x14ac:dyDescent="0.25">
      <c r="A2" s="532" t="str">
        <f>desc</f>
        <v>Description</v>
      </c>
      <c r="B2" s="109" t="str">
        <f>head1b</f>
        <v>2012/13</v>
      </c>
      <c r="C2" s="21" t="str">
        <f>head1A</f>
        <v>2013/14</v>
      </c>
      <c r="D2" s="103" t="str">
        <f>Head1</f>
        <v>2014/15</v>
      </c>
      <c r="E2" s="133" t="str">
        <f>Head2</f>
        <v>Current Year 2015/16</v>
      </c>
      <c r="F2" s="131"/>
      <c r="G2" s="132"/>
      <c r="H2" s="133" t="str">
        <f>Head3a</f>
        <v>Medium Term Revenue and Expenditure Framework</v>
      </c>
      <c r="I2" s="131"/>
      <c r="J2" s="132"/>
    </row>
    <row r="3" spans="1:10" ht="36" customHeight="1" x14ac:dyDescent="0.25">
      <c r="A3" s="534" t="s">
        <v>225</v>
      </c>
      <c r="B3" s="128" t="str">
        <f>Head5</f>
        <v>Audited Outcome</v>
      </c>
      <c r="C3" s="102" t="str">
        <f>Head5</f>
        <v>Audited Outcome</v>
      </c>
      <c r="D3" s="523" t="str">
        <f>Head5</f>
        <v>Audited Outcome</v>
      </c>
      <c r="E3" s="522" t="str">
        <f>Head6</f>
        <v>Original Budget</v>
      </c>
      <c r="F3" s="129" t="str">
        <f>Head7</f>
        <v>Adjusted Budget</v>
      </c>
      <c r="G3" s="523" t="str">
        <f>Head8</f>
        <v>Full Year Forecast</v>
      </c>
      <c r="H3" s="522" t="str">
        <f>Head9</f>
        <v>Budget Year 2016/17</v>
      </c>
      <c r="I3" s="129" t="str">
        <f>Head10</f>
        <v>Budget Year +1 2017/18</v>
      </c>
      <c r="J3" s="523" t="str">
        <f>Head11</f>
        <v>Budget Year +2 2018/19</v>
      </c>
    </row>
    <row r="4" spans="1:10" ht="12.75" customHeight="1" x14ac:dyDescent="0.25">
      <c r="A4" s="354" t="s">
        <v>296</v>
      </c>
      <c r="B4" s="62"/>
      <c r="C4" s="61"/>
      <c r="D4" s="127"/>
      <c r="E4" s="62"/>
      <c r="F4" s="61"/>
      <c r="G4" s="127"/>
      <c r="H4" s="62"/>
      <c r="I4" s="61"/>
      <c r="J4" s="127"/>
    </row>
    <row r="5" spans="1:10" ht="12.75" customHeight="1" x14ac:dyDescent="0.25">
      <c r="A5" s="54" t="s">
        <v>438</v>
      </c>
      <c r="B5" s="28">
        <f>'D2-FinPerf'!C5+'D2-FinPerf'!C6</f>
        <v>0</v>
      </c>
      <c r="C5" s="27">
        <f>'D2-FinPerf'!D5+'D2-FinPerf'!D6</f>
        <v>0</v>
      </c>
      <c r="D5" s="106">
        <f>'D2-FinPerf'!E5+'D2-FinPerf'!E6</f>
        <v>0</v>
      </c>
      <c r="E5" s="28">
        <f>'D2-FinPerf'!F5+'D2-FinPerf'!F6</f>
        <v>0</v>
      </c>
      <c r="F5" s="27">
        <f>'D2-FinPerf'!G5+'D2-FinPerf'!G6</f>
        <v>0</v>
      </c>
      <c r="G5" s="106">
        <f>'D2-FinPerf'!H5+'D2-FinPerf'!H6</f>
        <v>0</v>
      </c>
      <c r="H5" s="28">
        <f>'D2-FinPerf'!I5+'D2-FinPerf'!I6</f>
        <v>0</v>
      </c>
      <c r="I5" s="27">
        <f>'D2-FinPerf'!J5+'D2-FinPerf'!J6</f>
        <v>0</v>
      </c>
      <c r="J5" s="106">
        <f>'D2-FinPerf'!K5+'D2-FinPerf'!K6</f>
        <v>0</v>
      </c>
    </row>
    <row r="6" spans="1:10" ht="12.75" customHeight="1" x14ac:dyDescent="0.25">
      <c r="A6" s="54" t="s">
        <v>487</v>
      </c>
      <c r="B6" s="28">
        <f>SUM('D2-FinPerf'!C7:C11)</f>
        <v>0</v>
      </c>
      <c r="C6" s="27">
        <f>SUM('D2-FinPerf'!D7:D11)</f>
        <v>0</v>
      </c>
      <c r="D6" s="106">
        <f>SUM('D2-FinPerf'!E7:E11)</f>
        <v>0</v>
      </c>
      <c r="E6" s="28">
        <f>SUM('D2-FinPerf'!F7:F11)</f>
        <v>0</v>
      </c>
      <c r="F6" s="27">
        <f>SUM('D2-FinPerf'!G7:G11)</f>
        <v>0</v>
      </c>
      <c r="G6" s="106">
        <f>SUM('D2-FinPerf'!H7:H11)</f>
        <v>0</v>
      </c>
      <c r="H6" s="28">
        <f>SUM('D2-FinPerf'!I7:I11)</f>
        <v>0</v>
      </c>
      <c r="I6" s="27">
        <f>SUM('D2-FinPerf'!J7:J11)</f>
        <v>0</v>
      </c>
      <c r="J6" s="106">
        <f>SUM('D2-FinPerf'!K7:K11)</f>
        <v>0</v>
      </c>
    </row>
    <row r="7" spans="1:10" ht="12.75" customHeight="1" x14ac:dyDescent="0.25">
      <c r="A7" s="54" t="s">
        <v>73</v>
      </c>
      <c r="B7" s="28">
        <f>'D2-FinPerf'!C13</f>
        <v>27936</v>
      </c>
      <c r="C7" s="27">
        <f>'D2-FinPerf'!D13</f>
        <v>16811</v>
      </c>
      <c r="D7" s="106">
        <f>'D2-FinPerf'!E13</f>
        <v>33121.15</v>
      </c>
      <c r="E7" s="28">
        <f>'D2-FinPerf'!F13</f>
        <v>0</v>
      </c>
      <c r="F7" s="27">
        <f>'D2-FinPerf'!G13</f>
        <v>0</v>
      </c>
      <c r="G7" s="106">
        <f>'D2-FinPerf'!H13</f>
        <v>0</v>
      </c>
      <c r="H7" s="28">
        <f>'D2-FinPerf'!I13</f>
        <v>0</v>
      </c>
      <c r="I7" s="27">
        <f>'D2-FinPerf'!J13</f>
        <v>0</v>
      </c>
      <c r="J7" s="106">
        <f>'D2-FinPerf'!K13</f>
        <v>0</v>
      </c>
    </row>
    <row r="8" spans="1:10" ht="12.75" customHeight="1" x14ac:dyDescent="0.25">
      <c r="A8" s="373" t="s">
        <v>961</v>
      </c>
      <c r="B8" s="28">
        <f>'D2-FinPerf'!C19</f>
        <v>0</v>
      </c>
      <c r="C8" s="27">
        <f>'D2-FinPerf'!D19+'D2-FinPerf'!D40</f>
        <v>0</v>
      </c>
      <c r="D8" s="106">
        <f>'D2-FinPerf'!E19+'D2-FinPerf'!E40</f>
        <v>0</v>
      </c>
      <c r="E8" s="28">
        <f>'D2-FinPerf'!F19+'D2-FinPerf'!F40</f>
        <v>0</v>
      </c>
      <c r="F8" s="27">
        <f>'D2-FinPerf'!G19+'D2-FinPerf'!G40</f>
        <v>0</v>
      </c>
      <c r="G8" s="106">
        <f>'D2-FinPerf'!H19+'D2-FinPerf'!H40</f>
        <v>0</v>
      </c>
      <c r="H8" s="28">
        <f>'D2-FinPerf'!I19+'D2-FinPerf'!I40</f>
        <v>0</v>
      </c>
      <c r="I8" s="27">
        <f>'D2-FinPerf'!J19+'D2-FinPerf'!J40</f>
        <v>0</v>
      </c>
      <c r="J8" s="106">
        <f>'D2-FinPerf'!K19+'D2-FinPerf'!K40</f>
        <v>0</v>
      </c>
    </row>
    <row r="9" spans="1:10" ht="12.75" customHeight="1" x14ac:dyDescent="0.25">
      <c r="A9" s="54" t="s">
        <v>71</v>
      </c>
      <c r="B9" s="28">
        <f>'D2-FinPerf'!C12+'D2-FinPerf'!C14+'D2-FinPerf'!C15+'D2-FinPerf'!C16+'D2-FinPerf'!C17+'D2-FinPerf'!C18+'D2-FinPerf'!C20+'D2-FinPerf'!C21</f>
        <v>4635454</v>
      </c>
      <c r="C9" s="27">
        <f>'D2-FinPerf'!D12+'D2-FinPerf'!D14+'D2-FinPerf'!D15+'D2-FinPerf'!D16+'D2-FinPerf'!D17+'D2-FinPerf'!D18+'D2-FinPerf'!D20+'D2-FinPerf'!D21</f>
        <v>5475832.8399999999</v>
      </c>
      <c r="D9" s="106">
        <f>'D2-FinPerf'!E12+'D2-FinPerf'!E14+'D2-FinPerf'!E15+'D2-FinPerf'!E16+'D2-FinPerf'!E17+'D2-FinPerf'!E18+'D2-FinPerf'!E20+'D2-FinPerf'!E21</f>
        <v>4825855.34</v>
      </c>
      <c r="E9" s="28">
        <f>'D2-FinPerf'!F12+'D2-FinPerf'!F14+'D2-FinPerf'!F15+'D2-FinPerf'!F16+'D2-FinPerf'!F17+'D2-FinPerf'!F18+'D2-FinPerf'!F20+'D2-FinPerf'!F21</f>
        <v>5500000</v>
      </c>
      <c r="F9" s="27">
        <f>'D2-FinPerf'!G12+'D2-FinPerf'!G14+'D2-FinPerf'!G15+'D2-FinPerf'!G16+'D2-FinPerf'!G17+'D2-FinPerf'!G18+'D2-FinPerf'!G20+'D2-FinPerf'!G21</f>
        <v>842903</v>
      </c>
      <c r="G9" s="106">
        <f>'D2-FinPerf'!H12+'D2-FinPerf'!H14+'D2-FinPerf'!H15+'D2-FinPerf'!H16+'D2-FinPerf'!H17+'D2-FinPerf'!H18+'D2-FinPerf'!H20+'D2-FinPerf'!H21</f>
        <v>6342903</v>
      </c>
      <c r="H9" s="28">
        <f>'D2-FinPerf'!I12+'D2-FinPerf'!I14+'D2-FinPerf'!I15+'D2-FinPerf'!I16+'D2-FinPerf'!I17+'D2-FinPerf'!I18+'D2-FinPerf'!I20+'D2-FinPerf'!I21</f>
        <v>6734701</v>
      </c>
      <c r="I9" s="27">
        <f>'D2-FinPerf'!J12+'D2-FinPerf'!J14+'D2-FinPerf'!J15+'D2-FinPerf'!J16+'D2-FinPerf'!J17+'D2-FinPerf'!J18+'D2-FinPerf'!J20+'D2-FinPerf'!J21</f>
        <v>6948783</v>
      </c>
      <c r="J9" s="106">
        <f>'D2-FinPerf'!K12+'D2-FinPerf'!K14+'D2-FinPerf'!K15+'D2-FinPerf'!K16+'D2-FinPerf'!K17+'D2-FinPerf'!K18+'D2-FinPerf'!K20+'D2-FinPerf'!K21</f>
        <v>7363710</v>
      </c>
    </row>
    <row r="10" spans="1:10" ht="25.5" customHeight="1" x14ac:dyDescent="0.25">
      <c r="A10" s="590" t="s">
        <v>585</v>
      </c>
      <c r="B10" s="375">
        <f>SUM(B5:B9)</f>
        <v>4663390</v>
      </c>
      <c r="C10" s="376">
        <f t="shared" ref="C10:J10" si="0">SUM(C5:C9)</f>
        <v>5492643.8399999999</v>
      </c>
      <c r="D10" s="377">
        <f t="shared" si="0"/>
        <v>4858976.49</v>
      </c>
      <c r="E10" s="375">
        <f t="shared" si="0"/>
        <v>5500000</v>
      </c>
      <c r="F10" s="376">
        <f t="shared" si="0"/>
        <v>842903</v>
      </c>
      <c r="G10" s="377">
        <f t="shared" si="0"/>
        <v>6342903</v>
      </c>
      <c r="H10" s="375">
        <f t="shared" si="0"/>
        <v>6734701</v>
      </c>
      <c r="I10" s="376">
        <f t="shared" si="0"/>
        <v>6948783</v>
      </c>
      <c r="J10" s="377">
        <f t="shared" si="0"/>
        <v>7363710</v>
      </c>
    </row>
    <row r="11" spans="1:10" ht="12.75" customHeight="1" x14ac:dyDescent="0.25">
      <c r="A11" s="378" t="s">
        <v>47</v>
      </c>
      <c r="B11" s="28">
        <f>'D2-FinPerf'!C25</f>
        <v>1521107</v>
      </c>
      <c r="C11" s="27">
        <f>'D2-FinPerf'!D25</f>
        <v>3105414</v>
      </c>
      <c r="D11" s="106">
        <f>'D2-FinPerf'!E25</f>
        <v>8837194.6500000004</v>
      </c>
      <c r="E11" s="28">
        <f>'D2-FinPerf'!F25</f>
        <v>3559969.47</v>
      </c>
      <c r="F11" s="27">
        <f>'D2-FinPerf'!G25</f>
        <v>-321395.98</v>
      </c>
      <c r="G11" s="106">
        <f>'D2-FinPerf'!H25</f>
        <v>3238573.49</v>
      </c>
      <c r="H11" s="28">
        <f>'D2-FinPerf'!I25</f>
        <v>3465273.65</v>
      </c>
      <c r="I11" s="27">
        <f>'D2-FinPerf'!J25</f>
        <v>3715181.69</v>
      </c>
      <c r="J11" s="106">
        <f>'D2-FinPerf'!K25</f>
        <v>3983317.19</v>
      </c>
    </row>
    <row r="12" spans="1:10" ht="12.75" customHeight="1" x14ac:dyDescent="0.25">
      <c r="A12" s="378" t="s">
        <v>4</v>
      </c>
      <c r="B12" s="28">
        <f>'D2-FinPerf'!C26</f>
        <v>484324</v>
      </c>
      <c r="C12" s="27">
        <f>'D2-FinPerf'!D26</f>
        <v>579656</v>
      </c>
      <c r="D12" s="106">
        <f>'D2-FinPerf'!E26</f>
        <v>416446.86</v>
      </c>
      <c r="E12" s="28">
        <f>'D2-FinPerf'!F26</f>
        <v>328000</v>
      </c>
      <c r="F12" s="27">
        <f>'D2-FinPerf'!G26</f>
        <v>664474</v>
      </c>
      <c r="G12" s="106">
        <f>'D2-FinPerf'!H26</f>
        <v>992474</v>
      </c>
      <c r="H12" s="28">
        <f>'D2-FinPerf'!I26</f>
        <v>1137031.82</v>
      </c>
      <c r="I12" s="27">
        <f>'D2-FinPerf'!J26</f>
        <v>1217260.06</v>
      </c>
      <c r="J12" s="106">
        <f>'D2-FinPerf'!K26</f>
        <v>1303167.8500000001</v>
      </c>
    </row>
    <row r="13" spans="1:10" ht="12.75" customHeight="1" x14ac:dyDescent="0.25">
      <c r="A13" s="378" t="s">
        <v>51</v>
      </c>
      <c r="B13" s="28">
        <f>'D2-FinPerf'!C27+'D2-FinPerf'!C29</f>
        <v>0</v>
      </c>
      <c r="C13" s="27">
        <f>'D2-FinPerf'!D27</f>
        <v>0</v>
      </c>
      <c r="D13" s="106">
        <f>'D2-FinPerf'!E27</f>
        <v>0</v>
      </c>
      <c r="E13" s="28">
        <f>'D2-FinPerf'!F27</f>
        <v>0</v>
      </c>
      <c r="F13" s="27">
        <f>'D2-FinPerf'!G27</f>
        <v>0</v>
      </c>
      <c r="G13" s="106">
        <f>'D2-FinPerf'!H27</f>
        <v>0</v>
      </c>
      <c r="H13" s="28">
        <f>'D2-FinPerf'!I27</f>
        <v>0</v>
      </c>
      <c r="I13" s="27">
        <f>'D2-FinPerf'!J27</f>
        <v>0</v>
      </c>
      <c r="J13" s="106">
        <f>'D2-FinPerf'!K27</f>
        <v>0</v>
      </c>
    </row>
    <row r="14" spans="1:10" ht="12.75" customHeight="1" x14ac:dyDescent="0.25">
      <c r="A14" s="378" t="s">
        <v>29</v>
      </c>
      <c r="B14" s="28">
        <f>'D2-FinPerf'!C30</f>
        <v>0</v>
      </c>
      <c r="C14" s="27">
        <f>'D2-FinPerf'!D30</f>
        <v>0</v>
      </c>
      <c r="D14" s="106">
        <f>'D2-FinPerf'!E30</f>
        <v>0</v>
      </c>
      <c r="E14" s="28">
        <f>'D2-FinPerf'!F30</f>
        <v>0</v>
      </c>
      <c r="F14" s="27">
        <f>'D2-FinPerf'!G30</f>
        <v>0</v>
      </c>
      <c r="G14" s="106">
        <f>'D2-FinPerf'!H30</f>
        <v>0</v>
      </c>
      <c r="H14" s="28">
        <f>'D2-FinPerf'!I30</f>
        <v>0</v>
      </c>
      <c r="I14" s="27">
        <f>'D2-FinPerf'!J30</f>
        <v>0</v>
      </c>
      <c r="J14" s="106">
        <f>'D2-FinPerf'!K30</f>
        <v>0</v>
      </c>
    </row>
    <row r="15" spans="1:10" ht="12.75" customHeight="1" x14ac:dyDescent="0.25">
      <c r="A15" s="378" t="s">
        <v>72</v>
      </c>
      <c r="B15" s="28">
        <f>'D2-FinPerf'!C31+'D2-FinPerf'!C32</f>
        <v>0</v>
      </c>
      <c r="C15" s="27">
        <f>'D2-FinPerf'!D31+'D2-FinPerf'!D32</f>
        <v>0</v>
      </c>
      <c r="D15" s="106">
        <f>'D2-FinPerf'!E31+'D2-FinPerf'!E32</f>
        <v>0</v>
      </c>
      <c r="E15" s="28">
        <f>'D2-FinPerf'!F31+'D2-FinPerf'!F32</f>
        <v>0</v>
      </c>
      <c r="F15" s="27">
        <f>'D2-FinPerf'!G31+'D2-FinPerf'!G32</f>
        <v>0</v>
      </c>
      <c r="G15" s="106">
        <f>'D2-FinPerf'!H31+'D2-FinPerf'!H32</f>
        <v>0</v>
      </c>
      <c r="H15" s="28">
        <f>'D2-FinPerf'!I31+'D2-FinPerf'!I32</f>
        <v>0</v>
      </c>
      <c r="I15" s="27">
        <f>'D2-FinPerf'!J31+'D2-FinPerf'!J32</f>
        <v>0</v>
      </c>
      <c r="J15" s="106">
        <f>'D2-FinPerf'!K31+'D2-FinPerf'!K32</f>
        <v>0</v>
      </c>
    </row>
    <row r="16" spans="1:10" ht="12.75" customHeight="1" x14ac:dyDescent="0.25">
      <c r="A16" s="378" t="s">
        <v>586</v>
      </c>
      <c r="B16" s="28">
        <f>'D2-FinPerf'!C34</f>
        <v>0</v>
      </c>
      <c r="C16" s="27">
        <f>'D2-FinPerf'!D34</f>
        <v>0</v>
      </c>
      <c r="D16" s="106">
        <f>'D2-FinPerf'!E34</f>
        <v>0</v>
      </c>
      <c r="E16" s="28">
        <f>'D2-FinPerf'!F34</f>
        <v>0</v>
      </c>
      <c r="F16" s="27">
        <f>'D2-FinPerf'!G34</f>
        <v>0</v>
      </c>
      <c r="G16" s="106">
        <f>'D2-FinPerf'!H34</f>
        <v>0</v>
      </c>
      <c r="H16" s="28">
        <f>'D2-FinPerf'!I34</f>
        <v>0</v>
      </c>
      <c r="I16" s="27">
        <f>'D2-FinPerf'!J34</f>
        <v>0</v>
      </c>
      <c r="J16" s="106">
        <f>'D2-FinPerf'!K34</f>
        <v>0</v>
      </c>
    </row>
    <row r="17" spans="1:11" ht="12.75" customHeight="1" x14ac:dyDescent="0.25">
      <c r="A17" s="378" t="s">
        <v>8</v>
      </c>
      <c r="B17" s="28">
        <f>'D2-FinPerf'!C37-SUM('D1-Sum'!B11:B16)</f>
        <v>2410591</v>
      </c>
      <c r="C17" s="27">
        <f>'D2-FinPerf'!D37-SUM('D1-Sum'!C11:C16)</f>
        <v>2032461</v>
      </c>
      <c r="D17" s="106">
        <f>'D2-FinPerf'!E37-SUM('D1-Sum'!D11:D16)</f>
        <v>2002569.1799999997</v>
      </c>
      <c r="E17" s="28">
        <f>'D2-FinPerf'!F37-SUM('D1-Sum'!E11:E16)</f>
        <v>1610030.5300000007</v>
      </c>
      <c r="F17" s="27">
        <f>'D2-FinPerf'!G37-SUM('D1-Sum'!F11:F16)</f>
        <v>499824.98</v>
      </c>
      <c r="G17" s="106">
        <f>'D2-FinPerf'!H37-SUM('D1-Sum'!G11:G16)</f>
        <v>2109855.5100000007</v>
      </c>
      <c r="H17" s="28">
        <f>'D2-FinPerf'!I37-SUM('D1-Sum'!H11:H16)</f>
        <v>1897694.2399999993</v>
      </c>
      <c r="I17" s="27">
        <f>'D2-FinPerf'!J37-SUM('D1-Sum'!I11:I16)</f>
        <v>1767558.2599999998</v>
      </c>
      <c r="J17" s="106">
        <f>'D2-FinPerf'!K37-SUM('D1-Sum'!J11:J16)</f>
        <v>1813514.9799999995</v>
      </c>
    </row>
    <row r="18" spans="1:11" ht="12.75" customHeight="1" x14ac:dyDescent="0.25">
      <c r="A18" s="379" t="s">
        <v>62</v>
      </c>
      <c r="B18" s="45">
        <f>SUM(B11:B17)</f>
        <v>4416022</v>
      </c>
      <c r="C18" s="44">
        <f t="shared" ref="C18:J18" si="1">SUM(C11:C17)</f>
        <v>5717531</v>
      </c>
      <c r="D18" s="107">
        <f t="shared" si="1"/>
        <v>11256210.689999999</v>
      </c>
      <c r="E18" s="45">
        <f t="shared" si="1"/>
        <v>5498000.0000000009</v>
      </c>
      <c r="F18" s="44">
        <f t="shared" si="1"/>
        <v>842903</v>
      </c>
      <c r="G18" s="107">
        <f t="shared" si="1"/>
        <v>6340903.0000000009</v>
      </c>
      <c r="H18" s="45">
        <f t="shared" si="1"/>
        <v>6499999.709999999</v>
      </c>
      <c r="I18" s="44">
        <f t="shared" si="1"/>
        <v>6700000.0099999998</v>
      </c>
      <c r="J18" s="107">
        <f t="shared" si="1"/>
        <v>7100000.0199999996</v>
      </c>
    </row>
    <row r="19" spans="1:11" ht="12.75" customHeight="1" x14ac:dyDescent="0.25">
      <c r="A19" s="380" t="s">
        <v>63</v>
      </c>
      <c r="B19" s="31">
        <f>B10-B18</f>
        <v>247368</v>
      </c>
      <c r="C19" s="30">
        <f t="shared" ref="C19:J19" si="2">C10-C18</f>
        <v>-224887.16000000015</v>
      </c>
      <c r="D19" s="126">
        <f t="shared" si="2"/>
        <v>-6397234.1999999993</v>
      </c>
      <c r="E19" s="31">
        <f t="shared" si="2"/>
        <v>1999.9999999990687</v>
      </c>
      <c r="F19" s="30">
        <f t="shared" si="2"/>
        <v>0</v>
      </c>
      <c r="G19" s="126">
        <f t="shared" si="2"/>
        <v>1999.9999999990687</v>
      </c>
      <c r="H19" s="31">
        <f t="shared" si="2"/>
        <v>234701.29000000097</v>
      </c>
      <c r="I19" s="30">
        <f t="shared" si="2"/>
        <v>248782.99000000022</v>
      </c>
      <c r="J19" s="126">
        <f t="shared" si="2"/>
        <v>263709.98000000045</v>
      </c>
    </row>
    <row r="20" spans="1:11" ht="12.75" customHeight="1" x14ac:dyDescent="0.25">
      <c r="A20" s="591" t="s">
        <v>470</v>
      </c>
      <c r="B20" s="28">
        <f>SUM('D2-FinPerf'!C40:C42)</f>
        <v>0</v>
      </c>
      <c r="C20" s="27">
        <f>SUM('D2-FinPerf'!D40:D42)</f>
        <v>0</v>
      </c>
      <c r="D20" s="106">
        <f>SUM('D2-FinPerf'!E40:E42)</f>
        <v>0</v>
      </c>
      <c r="E20" s="28">
        <f>SUM('D2-FinPerf'!F40:F42)</f>
        <v>0</v>
      </c>
      <c r="F20" s="27">
        <f>SUM('D2-FinPerf'!G40:G42)</f>
        <v>0</v>
      </c>
      <c r="G20" s="106">
        <f>SUM('D2-FinPerf'!H40:H42)</f>
        <v>0</v>
      </c>
      <c r="H20" s="28">
        <f>SUM('D2-FinPerf'!I40:I42)</f>
        <v>0</v>
      </c>
      <c r="I20" s="27">
        <f>SUM('D2-FinPerf'!J40:J42)</f>
        <v>0</v>
      </c>
      <c r="J20" s="106">
        <f>SUM('D2-FinPerf'!K40:K42)</f>
        <v>0</v>
      </c>
    </row>
    <row r="21" spans="1:11" ht="23.25" customHeight="1" x14ac:dyDescent="0.25">
      <c r="A21" s="591" t="s">
        <v>650</v>
      </c>
      <c r="B21" s="28">
        <f>'D2-FinPerf'!C41+'D2-FinPerf'!C42</f>
        <v>0</v>
      </c>
      <c r="C21" s="27">
        <f>'D2-FinPerf'!D41+'D2-FinPerf'!D42</f>
        <v>0</v>
      </c>
      <c r="D21" s="106">
        <f>'D2-FinPerf'!E41+'D2-FinPerf'!E42</f>
        <v>0</v>
      </c>
      <c r="E21" s="28">
        <f>'D2-FinPerf'!F41+'D2-FinPerf'!F42</f>
        <v>0</v>
      </c>
      <c r="F21" s="27">
        <f>'D2-FinPerf'!G41+'D2-FinPerf'!G42</f>
        <v>0</v>
      </c>
      <c r="G21" s="106">
        <f>'D2-FinPerf'!H41+'D2-FinPerf'!H42</f>
        <v>0</v>
      </c>
      <c r="H21" s="28">
        <f>'D2-FinPerf'!I41+'D2-FinPerf'!I42</f>
        <v>0</v>
      </c>
      <c r="I21" s="27">
        <f>'D2-FinPerf'!J41+'D2-FinPerf'!J42</f>
        <v>0</v>
      </c>
      <c r="J21" s="106">
        <f>'D2-FinPerf'!K41+'D2-FinPerf'!K42</f>
        <v>0</v>
      </c>
    </row>
    <row r="22" spans="1:11" ht="22.5" customHeight="1" x14ac:dyDescent="0.25">
      <c r="A22" s="521" t="s">
        <v>651</v>
      </c>
      <c r="B22" s="553">
        <f>B19+B20+B21</f>
        <v>247368</v>
      </c>
      <c r="C22" s="554">
        <f t="shared" ref="C22:J22" si="3">C19+C20+C21</f>
        <v>-224887.16000000015</v>
      </c>
      <c r="D22" s="555">
        <f t="shared" si="3"/>
        <v>-6397234.1999999993</v>
      </c>
      <c r="E22" s="553">
        <f t="shared" si="3"/>
        <v>1999.9999999990687</v>
      </c>
      <c r="F22" s="554">
        <f t="shared" si="3"/>
        <v>0</v>
      </c>
      <c r="G22" s="555">
        <f t="shared" si="3"/>
        <v>1999.9999999990687</v>
      </c>
      <c r="H22" s="553">
        <f t="shared" si="3"/>
        <v>234701.29000000097</v>
      </c>
      <c r="I22" s="554">
        <f t="shared" si="3"/>
        <v>248782.99000000022</v>
      </c>
      <c r="J22" s="555">
        <f t="shared" si="3"/>
        <v>263709.98000000045</v>
      </c>
    </row>
    <row r="23" spans="1:11" ht="12.75" customHeight="1" x14ac:dyDescent="0.25">
      <c r="A23" s="381" t="s">
        <v>42</v>
      </c>
      <c r="B23" s="28">
        <f>'D2-FinPerf'!C44</f>
        <v>0</v>
      </c>
      <c r="C23" s="27">
        <f>'D2-FinPerf'!D44</f>
        <v>20066</v>
      </c>
      <c r="D23" s="106">
        <f>'D2-FinPerf'!E44</f>
        <v>69213</v>
      </c>
      <c r="E23" s="28">
        <f>'D2-FinPerf'!F44</f>
        <v>0</v>
      </c>
      <c r="F23" s="27">
        <f>'D2-FinPerf'!G44</f>
        <v>0</v>
      </c>
      <c r="G23" s="106">
        <f>'D2-FinPerf'!H44</f>
        <v>0</v>
      </c>
      <c r="H23" s="28">
        <f>'D2-FinPerf'!I44</f>
        <v>0</v>
      </c>
      <c r="I23" s="27">
        <f>'D2-FinPerf'!J44</f>
        <v>0</v>
      </c>
      <c r="J23" s="106">
        <f>'D2-FinPerf'!K44</f>
        <v>0</v>
      </c>
    </row>
    <row r="24" spans="1:11" ht="12.75" customHeight="1" x14ac:dyDescent="0.25">
      <c r="A24" s="355" t="s">
        <v>411</v>
      </c>
      <c r="B24" s="225">
        <f>B22-B23</f>
        <v>247368</v>
      </c>
      <c r="C24" s="226">
        <f t="shared" ref="C24:J24" si="4">C22-C23</f>
        <v>-244953.16000000015</v>
      </c>
      <c r="D24" s="227">
        <f t="shared" si="4"/>
        <v>-6466447.1999999993</v>
      </c>
      <c r="E24" s="225">
        <f t="shared" si="4"/>
        <v>1999.9999999990687</v>
      </c>
      <c r="F24" s="226">
        <f t="shared" si="4"/>
        <v>0</v>
      </c>
      <c r="G24" s="227">
        <f t="shared" si="4"/>
        <v>1999.9999999990687</v>
      </c>
      <c r="H24" s="225">
        <f t="shared" si="4"/>
        <v>234701.29000000097</v>
      </c>
      <c r="I24" s="226">
        <f t="shared" si="4"/>
        <v>248782.99000000022</v>
      </c>
      <c r="J24" s="227">
        <f t="shared" si="4"/>
        <v>263709.98000000045</v>
      </c>
    </row>
    <row r="25" spans="1:11" ht="5.0999999999999996" customHeight="1" x14ac:dyDescent="0.25">
      <c r="A25" s="356"/>
      <c r="B25" s="70"/>
      <c r="C25" s="69"/>
      <c r="D25" s="125"/>
      <c r="E25" s="70"/>
      <c r="F25" s="69"/>
      <c r="G25" s="125"/>
      <c r="H25" s="70"/>
      <c r="I25" s="69"/>
      <c r="J25" s="125"/>
    </row>
    <row r="26" spans="1:11" ht="12.75" customHeight="1" x14ac:dyDescent="0.25">
      <c r="A26" s="357" t="s">
        <v>437</v>
      </c>
      <c r="B26" s="68"/>
      <c r="C26" s="67"/>
      <c r="D26" s="105"/>
      <c r="E26" s="68"/>
      <c r="F26" s="67"/>
      <c r="G26" s="105"/>
      <c r="H26" s="68"/>
      <c r="I26" s="67"/>
      <c r="J26" s="105"/>
    </row>
    <row r="27" spans="1:11" ht="12.75" customHeight="1" x14ac:dyDescent="0.25">
      <c r="A27" s="358" t="s">
        <v>145</v>
      </c>
      <c r="B27" s="31">
        <f>'D3-Capex'!C31</f>
        <v>41089</v>
      </c>
      <c r="C27" s="30">
        <f>'D3-Capex'!D31</f>
        <v>61968</v>
      </c>
      <c r="D27" s="126">
        <f>'D3-Capex'!E31</f>
        <v>2000</v>
      </c>
      <c r="E27" s="31">
        <f>'D3-Capex'!F31</f>
        <v>2000</v>
      </c>
      <c r="F27" s="30">
        <f>'D3-Capex'!G31</f>
        <v>0</v>
      </c>
      <c r="G27" s="126">
        <f>'D3-Capex'!H31</f>
        <v>2000</v>
      </c>
      <c r="H27" s="31">
        <f>'D3-Capex'!I31</f>
        <v>234701.3</v>
      </c>
      <c r="I27" s="30">
        <f>'D3-Capex'!J31</f>
        <v>248783</v>
      </c>
      <c r="J27" s="126">
        <f>'D3-Capex'!K31</f>
        <v>2633709.98</v>
      </c>
      <c r="K27" s="42"/>
    </row>
    <row r="28" spans="1:11" ht="12.75" customHeight="1" x14ac:dyDescent="0.25">
      <c r="A28" s="592" t="s">
        <v>470</v>
      </c>
      <c r="B28" s="28">
        <f>'D3-Capex'!C38</f>
        <v>41</v>
      </c>
      <c r="C28" s="27">
        <f>'D3-Capex'!D38</f>
        <v>0</v>
      </c>
      <c r="D28" s="106">
        <f>'D3-Capex'!E38</f>
        <v>0</v>
      </c>
      <c r="E28" s="28">
        <f>'D3-Capex'!F38</f>
        <v>0</v>
      </c>
      <c r="F28" s="27">
        <f>'D3-Capex'!G38</f>
        <v>0</v>
      </c>
      <c r="G28" s="106">
        <f>'D3-Capex'!H38</f>
        <v>0</v>
      </c>
      <c r="H28" s="28">
        <f>'D3-Capex'!I38</f>
        <v>0</v>
      </c>
      <c r="I28" s="27">
        <f>'D3-Capex'!J38</f>
        <v>0</v>
      </c>
      <c r="J28" s="106">
        <f>'D3-Capex'!K38</f>
        <v>0</v>
      </c>
      <c r="K28" s="110"/>
    </row>
    <row r="29" spans="1:11" ht="12.75" customHeight="1" x14ac:dyDescent="0.25">
      <c r="A29" s="54" t="s">
        <v>49</v>
      </c>
      <c r="B29" s="28">
        <f>'D3-Capex'!C39</f>
        <v>0</v>
      </c>
      <c r="C29" s="27">
        <f>'D3-Capex'!D39</f>
        <v>0</v>
      </c>
      <c r="D29" s="106">
        <f>'D3-Capex'!E39</f>
        <v>0</v>
      </c>
      <c r="E29" s="28">
        <f>'D3-Capex'!F39</f>
        <v>0</v>
      </c>
      <c r="F29" s="27">
        <f>'D3-Capex'!G39</f>
        <v>0</v>
      </c>
      <c r="G29" s="106">
        <f>'D3-Capex'!H39</f>
        <v>0</v>
      </c>
      <c r="H29" s="28">
        <f>'D3-Capex'!I39</f>
        <v>0</v>
      </c>
      <c r="I29" s="27">
        <f>'D3-Capex'!J39</f>
        <v>0</v>
      </c>
      <c r="J29" s="106">
        <f>'D3-Capex'!K39</f>
        <v>0</v>
      </c>
      <c r="K29" s="110"/>
    </row>
    <row r="30" spans="1:11" ht="12.75" customHeight="1" x14ac:dyDescent="0.25">
      <c r="A30" s="54" t="s">
        <v>322</v>
      </c>
      <c r="B30" s="28">
        <f>'D3-Capex'!C40</f>
        <v>0</v>
      </c>
      <c r="C30" s="27">
        <f>'D3-Capex'!D40</f>
        <v>0</v>
      </c>
      <c r="D30" s="106">
        <f>'D3-Capex'!E40</f>
        <v>0</v>
      </c>
      <c r="E30" s="28">
        <f>'D3-Capex'!F40</f>
        <v>0</v>
      </c>
      <c r="F30" s="27">
        <f>'D3-Capex'!G40</f>
        <v>0</v>
      </c>
      <c r="G30" s="106">
        <f>'D3-Capex'!H40</f>
        <v>0</v>
      </c>
      <c r="H30" s="28">
        <f>'D3-Capex'!I40</f>
        <v>0</v>
      </c>
      <c r="I30" s="27">
        <f>'D3-Capex'!J40</f>
        <v>0</v>
      </c>
      <c r="J30" s="106">
        <f>'D3-Capex'!K40</f>
        <v>0</v>
      </c>
      <c r="K30" s="110"/>
    </row>
    <row r="31" spans="1:11" ht="12.75" customHeight="1" x14ac:dyDescent="0.25">
      <c r="A31" s="378" t="s">
        <v>46</v>
      </c>
      <c r="B31" s="28">
        <f>'D3-Capex'!C41</f>
        <v>41048</v>
      </c>
      <c r="C31" s="27">
        <f>'D3-Capex'!D41</f>
        <v>51914</v>
      </c>
      <c r="D31" s="106">
        <f>'D3-Capex'!E41</f>
        <v>133284</v>
      </c>
      <c r="E31" s="28">
        <f>'D3-Capex'!F41</f>
        <v>0</v>
      </c>
      <c r="F31" s="27">
        <f>'D3-Capex'!G41</f>
        <v>0</v>
      </c>
      <c r="G31" s="106">
        <f>'D3-Capex'!H41</f>
        <v>0</v>
      </c>
      <c r="H31" s="28">
        <f>'D3-Capex'!I41</f>
        <v>25000</v>
      </c>
      <c r="I31" s="27">
        <f>'D3-Capex'!J41</f>
        <v>27500</v>
      </c>
      <c r="J31" s="106">
        <f>'D3-Capex'!K41</f>
        <v>25450.75</v>
      </c>
      <c r="K31" s="110"/>
    </row>
    <row r="32" spans="1:11" ht="12.75" customHeight="1" x14ac:dyDescent="0.25">
      <c r="A32" s="56" t="s">
        <v>134</v>
      </c>
      <c r="B32" s="31">
        <f>SUM(B28:B31)</f>
        <v>41089</v>
      </c>
      <c r="C32" s="30">
        <f t="shared" ref="C32:J32" si="5">SUM(C28:C31)</f>
        <v>51914</v>
      </c>
      <c r="D32" s="126">
        <f t="shared" si="5"/>
        <v>133284</v>
      </c>
      <c r="E32" s="31">
        <f t="shared" si="5"/>
        <v>0</v>
      </c>
      <c r="F32" s="30">
        <f t="shared" si="5"/>
        <v>0</v>
      </c>
      <c r="G32" s="126">
        <f t="shared" si="5"/>
        <v>0</v>
      </c>
      <c r="H32" s="31">
        <f t="shared" si="5"/>
        <v>25000</v>
      </c>
      <c r="I32" s="30">
        <f t="shared" si="5"/>
        <v>27500</v>
      </c>
      <c r="J32" s="126">
        <f t="shared" si="5"/>
        <v>25450.75</v>
      </c>
    </row>
    <row r="33" spans="1:10" ht="5.0999999999999996" customHeight="1" x14ac:dyDescent="0.25">
      <c r="A33" s="359"/>
      <c r="B33" s="70"/>
      <c r="C33" s="69"/>
      <c r="D33" s="125"/>
      <c r="E33" s="70"/>
      <c r="F33" s="69"/>
      <c r="G33" s="125"/>
      <c r="H33" s="70"/>
      <c r="I33" s="69"/>
      <c r="J33" s="125"/>
    </row>
    <row r="34" spans="1:10" ht="12.75" customHeight="1" x14ac:dyDescent="0.25">
      <c r="A34" s="357" t="s">
        <v>69</v>
      </c>
      <c r="B34" s="68"/>
      <c r="C34" s="67"/>
      <c r="D34" s="105"/>
      <c r="E34" s="68"/>
      <c r="F34" s="67"/>
      <c r="G34" s="105"/>
      <c r="H34" s="68"/>
      <c r="I34" s="67"/>
      <c r="J34" s="105"/>
    </row>
    <row r="35" spans="1:10" ht="12.75" customHeight="1" x14ac:dyDescent="0.25">
      <c r="A35" s="54" t="s">
        <v>187</v>
      </c>
      <c r="B35" s="28">
        <f>'D4-FinPos'!C12</f>
        <v>1691302</v>
      </c>
      <c r="C35" s="27">
        <f>'D4-FinPos'!D12</f>
        <v>2715102</v>
      </c>
      <c r="D35" s="106">
        <f>'D4-FinPos'!E12</f>
        <v>2272483</v>
      </c>
      <c r="E35" s="28">
        <f>'D4-FinPos'!F12</f>
        <v>0</v>
      </c>
      <c r="F35" s="27">
        <f>'D4-FinPos'!G12</f>
        <v>0</v>
      </c>
      <c r="G35" s="106">
        <f>'D4-FinPos'!H12</f>
        <v>998362</v>
      </c>
      <c r="H35" s="28">
        <f>'D4-FinPos'!I12</f>
        <v>0</v>
      </c>
      <c r="I35" s="27">
        <f>'D4-FinPos'!J12</f>
        <v>0</v>
      </c>
      <c r="J35" s="106">
        <f>'D4-FinPos'!K12</f>
        <v>0</v>
      </c>
    </row>
    <row r="36" spans="1:10" ht="12.75" customHeight="1" x14ac:dyDescent="0.25">
      <c r="A36" s="54" t="s">
        <v>186</v>
      </c>
      <c r="B36" s="28">
        <f>'D4-FinPos'!C22</f>
        <v>55331</v>
      </c>
      <c r="C36" s="27">
        <f>'D4-FinPos'!D22</f>
        <v>90875</v>
      </c>
      <c r="D36" s="106">
        <f>'D4-FinPos'!E22</f>
        <v>184010</v>
      </c>
      <c r="E36" s="28">
        <f>'D4-FinPos'!F22</f>
        <v>0</v>
      </c>
      <c r="F36" s="27">
        <f>'D4-FinPos'!G22</f>
        <v>0</v>
      </c>
      <c r="G36" s="106">
        <f>'D4-FinPos'!H22</f>
        <v>210192</v>
      </c>
      <c r="H36" s="28">
        <f>'D4-FinPos'!I22</f>
        <v>235192</v>
      </c>
      <c r="I36" s="27">
        <f>'D4-FinPos'!J22</f>
        <v>262692</v>
      </c>
      <c r="J36" s="106">
        <f>'D4-FinPos'!K22</f>
        <v>288142.75</v>
      </c>
    </row>
    <row r="37" spans="1:10" ht="12.75" customHeight="1" x14ac:dyDescent="0.25">
      <c r="A37" s="54" t="s">
        <v>35</v>
      </c>
      <c r="B37" s="28">
        <f>'D4-FinPos'!C32</f>
        <v>274434</v>
      </c>
      <c r="C37" s="27">
        <f>'D4-FinPos'!D32</f>
        <v>128891</v>
      </c>
      <c r="D37" s="106">
        <f>'D4-FinPos'!E32</f>
        <v>109358</v>
      </c>
      <c r="E37" s="28">
        <f>'D4-FinPos'!F32</f>
        <v>0</v>
      </c>
      <c r="F37" s="27">
        <f>'D4-FinPos'!G32</f>
        <v>0</v>
      </c>
      <c r="G37" s="106">
        <f>'D4-FinPos'!H32</f>
        <v>408838</v>
      </c>
      <c r="H37" s="28">
        <f>'D4-FinPos'!I32</f>
        <v>0</v>
      </c>
      <c r="I37" s="27">
        <f>'D4-FinPos'!J32</f>
        <v>0</v>
      </c>
      <c r="J37" s="106">
        <f>'D4-FinPos'!K32</f>
        <v>0</v>
      </c>
    </row>
    <row r="38" spans="1:10" ht="12.75" customHeight="1" x14ac:dyDescent="0.25">
      <c r="A38" s="54" t="s">
        <v>34</v>
      </c>
      <c r="B38" s="28">
        <f>'D4-FinPos'!C37</f>
        <v>0</v>
      </c>
      <c r="C38" s="27">
        <f>'D4-FinPos'!D37</f>
        <v>0</v>
      </c>
      <c r="D38" s="106">
        <f>'D4-FinPos'!E37</f>
        <v>0</v>
      </c>
      <c r="E38" s="28">
        <f>'D4-FinPos'!F37</f>
        <v>0</v>
      </c>
      <c r="F38" s="27">
        <f>'D4-FinPos'!G37</f>
        <v>0</v>
      </c>
      <c r="G38" s="106">
        <f>'D4-FinPos'!H37</f>
        <v>0</v>
      </c>
      <c r="H38" s="28">
        <f>'D4-FinPos'!I37</f>
        <v>0</v>
      </c>
      <c r="I38" s="27">
        <f>'D4-FinPos'!J37</f>
        <v>0</v>
      </c>
      <c r="J38" s="106">
        <f>'D4-FinPos'!K37</f>
        <v>0</v>
      </c>
    </row>
    <row r="39" spans="1:10" ht="12.75" customHeight="1" x14ac:dyDescent="0.25">
      <c r="A39" s="54" t="s">
        <v>75</v>
      </c>
      <c r="B39" s="28">
        <f>'D4-FinPos'!C46</f>
        <v>1472199</v>
      </c>
      <c r="C39" s="27">
        <f>'D4-FinPos'!D46</f>
        <v>2677086</v>
      </c>
      <c r="D39" s="106">
        <f>'D4-FinPos'!E46</f>
        <v>2347135</v>
      </c>
      <c r="E39" s="28">
        <f>'D4-FinPos'!F46</f>
        <v>0</v>
      </c>
      <c r="F39" s="27">
        <f>'D4-FinPos'!G46</f>
        <v>0</v>
      </c>
      <c r="G39" s="106">
        <f>'D4-FinPos'!H46</f>
        <v>799716</v>
      </c>
      <c r="H39" s="28">
        <f>'D4-FinPos'!I46</f>
        <v>235192</v>
      </c>
      <c r="I39" s="27">
        <f>'D4-FinPos'!J46</f>
        <v>262692</v>
      </c>
      <c r="J39" s="106">
        <f>'D4-FinPos'!K46</f>
        <v>288143</v>
      </c>
    </row>
    <row r="40" spans="1:10" ht="5.0999999999999996" customHeight="1" x14ac:dyDescent="0.25">
      <c r="A40" s="356"/>
      <c r="B40" s="70"/>
      <c r="C40" s="69"/>
      <c r="D40" s="125"/>
      <c r="E40" s="70"/>
      <c r="F40" s="69"/>
      <c r="G40" s="125"/>
      <c r="H40" s="70"/>
      <c r="I40" s="69"/>
      <c r="J40" s="125"/>
    </row>
    <row r="41" spans="1:10" ht="12.75" customHeight="1" x14ac:dyDescent="0.25">
      <c r="A41" s="360" t="s">
        <v>70</v>
      </c>
      <c r="B41" s="28"/>
      <c r="C41" s="27"/>
      <c r="D41" s="106"/>
      <c r="E41" s="28"/>
      <c r="F41" s="27"/>
      <c r="G41" s="106"/>
      <c r="H41" s="28"/>
      <c r="I41" s="27"/>
      <c r="J41" s="106"/>
    </row>
    <row r="42" spans="1:10" ht="12.75" customHeight="1" x14ac:dyDescent="0.25">
      <c r="A42" s="54" t="s">
        <v>206</v>
      </c>
      <c r="B42" s="28">
        <f>'D5-CFlow'!C16</f>
        <v>258315</v>
      </c>
      <c r="C42" s="27">
        <f>'D5-CFlow'!D16</f>
        <v>942010</v>
      </c>
      <c r="D42" s="106">
        <f>'D5-CFlow'!E16</f>
        <v>-181602</v>
      </c>
      <c r="E42" s="28">
        <f>'D5-CFlow'!F16</f>
        <v>-988000</v>
      </c>
      <c r="F42" s="27">
        <f>'D5-CFlow'!G16</f>
        <v>0</v>
      </c>
      <c r="G42" s="106">
        <f>'D5-CFlow'!H16</f>
        <v>-988435</v>
      </c>
      <c r="H42" s="28">
        <f>'D5-CFlow'!I16</f>
        <v>234701.29000000097</v>
      </c>
      <c r="I42" s="27">
        <f>'D5-CFlow'!J16</f>
        <v>248782.99000000022</v>
      </c>
      <c r="J42" s="106">
        <f>'D5-CFlow'!K16</f>
        <v>263709.98000000045</v>
      </c>
    </row>
    <row r="43" spans="1:10" ht="12.75" customHeight="1" x14ac:dyDescent="0.25">
      <c r="A43" s="54" t="s">
        <v>207</v>
      </c>
      <c r="B43" s="28">
        <f>'D5-CFlow'!C26</f>
        <v>-41089</v>
      </c>
      <c r="C43" s="27">
        <f>'D5-CFlow'!D26</f>
        <v>-51914</v>
      </c>
      <c r="D43" s="106">
        <f>'D5-CFlow'!E26</f>
        <v>-133284</v>
      </c>
      <c r="E43" s="28">
        <f>'D5-CFlow'!F26</f>
        <v>-1036000</v>
      </c>
      <c r="F43" s="27">
        <f>'D5-CFlow'!G26</f>
        <v>-2024000</v>
      </c>
      <c r="G43" s="106">
        <f>'D5-CFlow'!H26</f>
        <v>-102304</v>
      </c>
      <c r="H43" s="28">
        <f>'D5-CFlow'!I26</f>
        <v>-933000</v>
      </c>
      <c r="I43" s="27">
        <f>'D5-CFlow'!J26</f>
        <v>0</v>
      </c>
      <c r="J43" s="106">
        <f>'D5-CFlow'!K26</f>
        <v>0</v>
      </c>
    </row>
    <row r="44" spans="1:10" ht="12.75" customHeight="1" x14ac:dyDescent="0.25">
      <c r="A44" s="54" t="s">
        <v>205</v>
      </c>
      <c r="B44" s="28">
        <f>'D5-CFlow'!C35</f>
        <v>0</v>
      </c>
      <c r="C44" s="27">
        <f>'D5-CFlow'!D35</f>
        <v>0</v>
      </c>
      <c r="D44" s="106">
        <f>'D5-CFlow'!E35</f>
        <v>0</v>
      </c>
      <c r="E44" s="28">
        <f>'D5-CFlow'!F35</f>
        <v>0</v>
      </c>
      <c r="F44" s="27">
        <f>'D5-CFlow'!G35</f>
        <v>0</v>
      </c>
      <c r="G44" s="106">
        <f>'D5-CFlow'!H35</f>
        <v>0</v>
      </c>
      <c r="H44" s="28">
        <f>'D5-CFlow'!I35</f>
        <v>0</v>
      </c>
      <c r="I44" s="27">
        <f>'D5-CFlow'!J35</f>
        <v>0</v>
      </c>
      <c r="J44" s="106">
        <f>'D5-CFlow'!K35</f>
        <v>0</v>
      </c>
    </row>
    <row r="45" spans="1:10" ht="12.75" customHeight="1" x14ac:dyDescent="0.25">
      <c r="A45" s="361" t="s">
        <v>38</v>
      </c>
      <c r="B45" s="31">
        <f>'D5-CFlow'!C39</f>
        <v>1448345</v>
      </c>
      <c r="C45" s="30">
        <f>'D5-CFlow'!D39</f>
        <v>2338441</v>
      </c>
      <c r="D45" s="126">
        <f>'D5-CFlow'!E39</f>
        <v>2023555</v>
      </c>
      <c r="E45" s="31">
        <f>'D5-CFlow'!F39</f>
        <v>-445</v>
      </c>
      <c r="F45" s="30">
        <f>'D5-CFlow'!G39</f>
        <v>-445</v>
      </c>
      <c r="G45" s="126">
        <f>'D5-CFlow'!H39</f>
        <v>932816</v>
      </c>
      <c r="H45" s="31">
        <f>'D5-CFlow'!I39</f>
        <v>234517.29000000097</v>
      </c>
      <c r="I45" s="30">
        <f>'D5-CFlow'!J39</f>
        <v>483300.28000000119</v>
      </c>
      <c r="J45" s="126">
        <f>'D5-CFlow'!K39</f>
        <v>747010.26000000164</v>
      </c>
    </row>
    <row r="46" spans="1:10" ht="5.0999999999999996" customHeight="1" x14ac:dyDescent="0.25">
      <c r="A46" s="356"/>
      <c r="B46" s="70"/>
      <c r="C46" s="69"/>
      <c r="D46" s="125"/>
      <c r="E46" s="70"/>
      <c r="F46" s="69"/>
      <c r="G46" s="125"/>
      <c r="H46" s="70"/>
      <c r="I46" s="69"/>
      <c r="J46" s="125"/>
    </row>
  </sheetData>
  <sheetProtection password="A35B" sheet="1" objects="1" scenarios="1"/>
  <phoneticPr fontId="2" type="noConversion"/>
  <printOptions horizontalCentered="1"/>
  <pageMargins left="0.35433070866141736" right="0.15748031496062992" top="0.78740157480314965" bottom="0.59055118110236227" header="0.51181102362204722" footer="0.39370078740157483"/>
  <pageSetup paperSize="9" scale="81"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indexed="44"/>
    <pageSetUpPr fitToPage="1"/>
  </sheetPr>
  <dimension ref="A1:X52"/>
  <sheetViews>
    <sheetView showGridLines="0" workbookViewId="0">
      <pane xSplit="2" ySplit="3" topLeftCell="C25" activePane="bottomRight" state="frozen"/>
      <selection activeCell="G21" sqref="G21"/>
      <selection pane="topRight" activeCell="G21" sqref="G21"/>
      <selection pane="bottomLeft" activeCell="G21" sqref="G21"/>
      <selection pane="bottomRight" activeCell="C42" sqref="C42"/>
    </sheetView>
  </sheetViews>
  <sheetFormatPr defaultRowHeight="12.75" x14ac:dyDescent="0.25"/>
  <cols>
    <col min="1" max="1" width="35.7109375" style="237" customWidth="1"/>
    <col min="2" max="2" width="3.140625" style="236" customWidth="1"/>
    <col min="3" max="11" width="8.7109375" style="237" customWidth="1"/>
    <col min="12" max="16384" width="9.140625" style="237"/>
  </cols>
  <sheetData>
    <row r="1" spans="1:23" ht="13.5" x14ac:dyDescent="0.25">
      <c r="A1" s="235" t="str">
        <f>_MEB1</f>
        <v>Greater Tzaneen Economic Development Agency (GTEDA) - Table D2 Budgeted Financial Performance (revenue and expenditure)</v>
      </c>
    </row>
    <row r="2" spans="1:23" s="535" customFormat="1" ht="25.5" x14ac:dyDescent="0.25">
      <c r="A2" s="525" t="str">
        <f>desc</f>
        <v>Description</v>
      </c>
      <c r="B2" s="525" t="str">
        <f>head27</f>
        <v>Ref</v>
      </c>
      <c r="C2" s="353" t="str">
        <f>head1b</f>
        <v>2012/13</v>
      </c>
      <c r="D2" s="238" t="str">
        <f>head1A</f>
        <v>2013/14</v>
      </c>
      <c r="E2" s="239" t="str">
        <f>Head1</f>
        <v>2014/15</v>
      </c>
      <c r="F2" s="240" t="str">
        <f>Head2</f>
        <v>Current Year 2015/16</v>
      </c>
      <c r="G2" s="241"/>
      <c r="H2" s="242"/>
      <c r="I2" s="240" t="str">
        <f>Head3a</f>
        <v>Medium Term Revenue and Expenditure Framework</v>
      </c>
      <c r="J2" s="241"/>
      <c r="K2" s="242"/>
    </row>
    <row r="3" spans="1:23" s="535" customFormat="1" ht="29.25" customHeight="1" x14ac:dyDescent="0.25">
      <c r="A3" s="536" t="s">
        <v>225</v>
      </c>
      <c r="B3" s="526"/>
      <c r="C3" s="529" t="str">
        <f>Head5</f>
        <v>Audited Outcome</v>
      </c>
      <c r="D3" s="530" t="str">
        <f>Head5</f>
        <v>Audited Outcome</v>
      </c>
      <c r="E3" s="528" t="str">
        <f>Head5</f>
        <v>Audited Outcome</v>
      </c>
      <c r="F3" s="531" t="str">
        <f>Head6</f>
        <v>Original Budget</v>
      </c>
      <c r="G3" s="527" t="str">
        <f>Head7</f>
        <v>Adjusted Budget</v>
      </c>
      <c r="H3" s="528" t="str">
        <f>Head8</f>
        <v>Full Year Forecast</v>
      </c>
      <c r="I3" s="531" t="str">
        <f>Head9</f>
        <v>Budget Year 2016/17</v>
      </c>
      <c r="J3" s="527" t="str">
        <f>Head10</f>
        <v>Budget Year +1 2017/18</v>
      </c>
      <c r="K3" s="528" t="str">
        <f>Head11</f>
        <v>Budget Year +2 2018/19</v>
      </c>
    </row>
    <row r="4" spans="1:23" ht="12.75" customHeight="1" x14ac:dyDescent="0.25">
      <c r="A4" s="384" t="s">
        <v>52</v>
      </c>
      <c r="B4" s="546">
        <v>1</v>
      </c>
      <c r="C4" s="246"/>
      <c r="D4" s="244"/>
      <c r="E4" s="245"/>
      <c r="F4" s="246"/>
      <c r="G4" s="244"/>
      <c r="H4" s="245"/>
      <c r="I4" s="246"/>
      <c r="J4" s="244"/>
      <c r="K4" s="245"/>
      <c r="L4" s="247"/>
      <c r="M4" s="247"/>
      <c r="N4" s="247"/>
      <c r="O4" s="247"/>
      <c r="P4" s="247"/>
      <c r="Q4" s="247"/>
      <c r="R4" s="247"/>
      <c r="S4" s="247"/>
      <c r="T4" s="247"/>
      <c r="U4" s="247"/>
      <c r="V4" s="247"/>
      <c r="W4" s="247"/>
    </row>
    <row r="5" spans="1:23" ht="12.75" customHeight="1" x14ac:dyDescent="0.25">
      <c r="A5" s="248" t="s">
        <v>438</v>
      </c>
      <c r="B5" s="385"/>
      <c r="C5" s="284"/>
      <c r="D5" s="282"/>
      <c r="E5" s="283"/>
      <c r="F5" s="419"/>
      <c r="G5" s="282"/>
      <c r="H5" s="283"/>
      <c r="I5" s="284"/>
      <c r="J5" s="282"/>
      <c r="K5" s="283"/>
      <c r="L5" s="250"/>
      <c r="M5" s="250"/>
      <c r="N5" s="250"/>
      <c r="O5" s="250"/>
      <c r="P5" s="250"/>
      <c r="Q5" s="250"/>
      <c r="R5" s="250"/>
      <c r="S5" s="250"/>
      <c r="T5" s="250"/>
      <c r="U5" s="250"/>
      <c r="V5" s="250"/>
      <c r="W5" s="250"/>
    </row>
    <row r="6" spans="1:23" ht="12.75" customHeight="1" x14ac:dyDescent="0.25">
      <c r="A6" s="248" t="s">
        <v>486</v>
      </c>
      <c r="B6" s="385"/>
      <c r="C6" s="284"/>
      <c r="D6" s="282"/>
      <c r="E6" s="283"/>
      <c r="F6" s="419"/>
      <c r="G6" s="282"/>
      <c r="H6" s="283"/>
      <c r="I6" s="284"/>
      <c r="J6" s="282"/>
      <c r="K6" s="283"/>
      <c r="L6" s="250"/>
      <c r="M6" s="250"/>
      <c r="N6" s="250"/>
      <c r="O6" s="250"/>
      <c r="P6" s="250"/>
      <c r="Q6" s="250"/>
      <c r="R6" s="250"/>
      <c r="S6" s="250"/>
      <c r="T6" s="250"/>
      <c r="U6" s="250"/>
      <c r="V6" s="250"/>
      <c r="W6" s="250"/>
    </row>
    <row r="7" spans="1:23" ht="12.75" customHeight="1" x14ac:dyDescent="0.25">
      <c r="A7" s="248" t="s">
        <v>370</v>
      </c>
      <c r="B7" s="385"/>
      <c r="C7" s="284"/>
      <c r="D7" s="282"/>
      <c r="E7" s="283"/>
      <c r="F7" s="419"/>
      <c r="G7" s="282"/>
      <c r="H7" s="283"/>
      <c r="I7" s="284"/>
      <c r="J7" s="282"/>
      <c r="K7" s="283"/>
      <c r="L7" s="250"/>
      <c r="M7" s="250"/>
      <c r="N7" s="250"/>
      <c r="O7" s="250"/>
      <c r="P7" s="250"/>
      <c r="Q7" s="250"/>
      <c r="R7" s="250"/>
      <c r="S7" s="250"/>
      <c r="T7" s="250"/>
      <c r="U7" s="250"/>
      <c r="V7" s="250"/>
      <c r="W7" s="250"/>
    </row>
    <row r="8" spans="1:23" ht="12.75" customHeight="1" x14ac:dyDescent="0.25">
      <c r="A8" s="248" t="s">
        <v>371</v>
      </c>
      <c r="B8" s="385"/>
      <c r="C8" s="284"/>
      <c r="D8" s="282"/>
      <c r="E8" s="283"/>
      <c r="F8" s="419"/>
      <c r="G8" s="282"/>
      <c r="H8" s="283"/>
      <c r="I8" s="284"/>
      <c r="J8" s="282"/>
      <c r="K8" s="283"/>
      <c r="L8" s="250"/>
      <c r="M8" s="250"/>
      <c r="N8" s="250"/>
      <c r="O8" s="250"/>
      <c r="P8" s="250"/>
      <c r="Q8" s="250"/>
      <c r="R8" s="250"/>
      <c r="S8" s="250"/>
      <c r="T8" s="250"/>
      <c r="U8" s="250"/>
      <c r="V8" s="250"/>
      <c r="W8" s="250"/>
    </row>
    <row r="9" spans="1:23" ht="12.75" customHeight="1" x14ac:dyDescent="0.25">
      <c r="A9" s="248" t="s">
        <v>372</v>
      </c>
      <c r="B9" s="385"/>
      <c r="C9" s="284"/>
      <c r="D9" s="282"/>
      <c r="E9" s="283"/>
      <c r="F9" s="419"/>
      <c r="G9" s="282"/>
      <c r="H9" s="283"/>
      <c r="I9" s="284"/>
      <c r="J9" s="282"/>
      <c r="K9" s="283"/>
      <c r="L9" s="250"/>
      <c r="M9" s="250"/>
      <c r="N9" s="250"/>
      <c r="O9" s="250"/>
      <c r="P9" s="250"/>
      <c r="Q9" s="250"/>
      <c r="R9" s="250"/>
      <c r="S9" s="250"/>
      <c r="T9" s="250"/>
      <c r="U9" s="250"/>
      <c r="V9" s="250"/>
      <c r="W9" s="250"/>
    </row>
    <row r="10" spans="1:23" ht="12.75" customHeight="1" x14ac:dyDescent="0.25">
      <c r="A10" s="382" t="s">
        <v>968</v>
      </c>
      <c r="B10" s="385"/>
      <c r="C10" s="284"/>
      <c r="D10" s="282"/>
      <c r="E10" s="283"/>
      <c r="F10" s="419"/>
      <c r="G10" s="282"/>
      <c r="H10" s="283"/>
      <c r="I10" s="284"/>
      <c r="J10" s="282"/>
      <c r="K10" s="283"/>
      <c r="L10" s="250"/>
      <c r="M10" s="250"/>
      <c r="N10" s="250"/>
      <c r="O10" s="250"/>
      <c r="P10" s="250"/>
      <c r="Q10" s="250"/>
      <c r="R10" s="250"/>
      <c r="S10" s="250"/>
      <c r="T10" s="250"/>
      <c r="U10" s="250"/>
      <c r="V10" s="250"/>
      <c r="W10" s="250"/>
    </row>
    <row r="11" spans="1:23" ht="12.75" customHeight="1" x14ac:dyDescent="0.25">
      <c r="A11" s="248" t="s">
        <v>373</v>
      </c>
      <c r="B11" s="385"/>
      <c r="C11" s="284"/>
      <c r="D11" s="282"/>
      <c r="E11" s="283"/>
      <c r="F11" s="419"/>
      <c r="G11" s="282"/>
      <c r="H11" s="283"/>
      <c r="I11" s="284"/>
      <c r="J11" s="282"/>
      <c r="K11" s="283"/>
      <c r="L11" s="250"/>
      <c r="M11" s="250"/>
      <c r="N11" s="250"/>
      <c r="O11" s="250"/>
      <c r="P11" s="250"/>
      <c r="Q11" s="250"/>
      <c r="R11" s="250"/>
      <c r="S11" s="250"/>
      <c r="T11" s="250"/>
      <c r="U11" s="250"/>
      <c r="V11" s="250"/>
      <c r="W11" s="250"/>
    </row>
    <row r="12" spans="1:23" ht="12.75" customHeight="1" x14ac:dyDescent="0.25">
      <c r="A12" s="248" t="s">
        <v>488</v>
      </c>
      <c r="B12" s="385"/>
      <c r="C12" s="284"/>
      <c r="D12" s="282"/>
      <c r="E12" s="283"/>
      <c r="F12" s="419"/>
      <c r="G12" s="282"/>
      <c r="H12" s="283"/>
      <c r="I12" s="284"/>
      <c r="J12" s="282"/>
      <c r="K12" s="283"/>
      <c r="L12" s="250"/>
      <c r="M12" s="250"/>
      <c r="N12" s="250"/>
      <c r="O12" s="250"/>
      <c r="P12" s="250"/>
      <c r="Q12" s="250"/>
      <c r="R12" s="250"/>
      <c r="S12" s="250"/>
      <c r="T12" s="250"/>
      <c r="U12" s="250"/>
      <c r="V12" s="250"/>
      <c r="W12" s="250"/>
    </row>
    <row r="13" spans="1:23" ht="12.75" customHeight="1" x14ac:dyDescent="0.25">
      <c r="A13" s="248" t="s">
        <v>377</v>
      </c>
      <c r="B13" s="385"/>
      <c r="C13" s="284">
        <v>27936</v>
      </c>
      <c r="D13" s="282">
        <v>16811</v>
      </c>
      <c r="E13" s="283">
        <v>33121.15</v>
      </c>
      <c r="F13" s="419"/>
      <c r="G13" s="282"/>
      <c r="H13" s="283"/>
      <c r="I13" s="284"/>
      <c r="J13" s="282"/>
      <c r="K13" s="283"/>
      <c r="L13" s="250"/>
      <c r="M13" s="250"/>
      <c r="N13" s="250"/>
      <c r="O13" s="250"/>
      <c r="P13" s="250"/>
      <c r="Q13" s="250"/>
      <c r="R13" s="250"/>
      <c r="S13" s="250"/>
      <c r="T13" s="250"/>
      <c r="U13" s="250"/>
      <c r="V13" s="250"/>
      <c r="W13" s="250"/>
    </row>
    <row r="14" spans="1:23" ht="12.75" customHeight="1" x14ac:dyDescent="0.25">
      <c r="A14" s="248" t="s">
        <v>378</v>
      </c>
      <c r="B14" s="385"/>
      <c r="C14" s="284"/>
      <c r="D14" s="282"/>
      <c r="E14" s="283"/>
      <c r="F14" s="419"/>
      <c r="G14" s="282"/>
      <c r="H14" s="283"/>
      <c r="I14" s="284"/>
      <c r="J14" s="282"/>
      <c r="K14" s="283"/>
      <c r="L14" s="250"/>
      <c r="M14" s="250"/>
      <c r="N14" s="250"/>
      <c r="O14" s="250"/>
      <c r="P14" s="250"/>
      <c r="Q14" s="250"/>
      <c r="R14" s="250"/>
      <c r="S14" s="250"/>
      <c r="T14" s="250"/>
      <c r="U14" s="250"/>
      <c r="V14" s="250"/>
      <c r="W14" s="250"/>
    </row>
    <row r="15" spans="1:23" ht="12.75" customHeight="1" x14ac:dyDescent="0.25">
      <c r="A15" s="248" t="s">
        <v>433</v>
      </c>
      <c r="B15" s="385"/>
      <c r="C15" s="284"/>
      <c r="D15" s="282"/>
      <c r="E15" s="283"/>
      <c r="F15" s="419"/>
      <c r="G15" s="282"/>
      <c r="H15" s="283"/>
      <c r="I15" s="284"/>
      <c r="J15" s="282"/>
      <c r="K15" s="283"/>
      <c r="L15" s="250"/>
      <c r="M15" s="250"/>
      <c r="N15" s="250"/>
      <c r="O15" s="250"/>
      <c r="P15" s="250"/>
      <c r="Q15" s="250"/>
      <c r="R15" s="250"/>
      <c r="S15" s="250"/>
      <c r="T15" s="250"/>
      <c r="U15" s="250"/>
      <c r="V15" s="250"/>
      <c r="W15" s="250"/>
    </row>
    <row r="16" spans="1:23" ht="12.75" customHeight="1" x14ac:dyDescent="0.25">
      <c r="A16" s="248" t="s">
        <v>379</v>
      </c>
      <c r="B16" s="385"/>
      <c r="C16" s="284"/>
      <c r="D16" s="282"/>
      <c r="E16" s="283"/>
      <c r="F16" s="419"/>
      <c r="G16" s="282"/>
      <c r="H16" s="283"/>
      <c r="I16" s="284"/>
      <c r="J16" s="282"/>
      <c r="K16" s="283"/>
      <c r="L16" s="250"/>
      <c r="M16" s="250"/>
      <c r="N16" s="250"/>
      <c r="O16" s="250"/>
      <c r="P16" s="250"/>
      <c r="Q16" s="250"/>
      <c r="R16" s="250"/>
      <c r="S16" s="250"/>
      <c r="T16" s="250"/>
      <c r="U16" s="250"/>
      <c r="V16" s="250"/>
      <c r="W16" s="250"/>
    </row>
    <row r="17" spans="1:24" ht="12.75" customHeight="1" x14ac:dyDescent="0.25">
      <c r="A17" s="248" t="s">
        <v>380</v>
      </c>
      <c r="B17" s="385"/>
      <c r="C17" s="284"/>
      <c r="D17" s="282"/>
      <c r="E17" s="283"/>
      <c r="F17" s="419"/>
      <c r="G17" s="282"/>
      <c r="H17" s="283"/>
      <c r="I17" s="284"/>
      <c r="J17" s="282"/>
      <c r="K17" s="283"/>
      <c r="L17" s="250"/>
      <c r="M17" s="250"/>
      <c r="N17" s="250"/>
      <c r="O17" s="250"/>
      <c r="P17" s="250"/>
      <c r="Q17" s="250"/>
      <c r="R17" s="250"/>
      <c r="S17" s="250"/>
      <c r="T17" s="250"/>
      <c r="U17" s="250"/>
      <c r="V17" s="250"/>
      <c r="W17" s="250"/>
    </row>
    <row r="18" spans="1:24" ht="12.75" customHeight="1" x14ac:dyDescent="0.25">
      <c r="A18" s="248" t="s">
        <v>144</v>
      </c>
      <c r="B18" s="385"/>
      <c r="C18" s="284"/>
      <c r="D18" s="282"/>
      <c r="E18" s="283"/>
      <c r="F18" s="419"/>
      <c r="G18" s="282"/>
      <c r="H18" s="283"/>
      <c r="I18" s="284"/>
      <c r="J18" s="282"/>
      <c r="K18" s="283"/>
      <c r="L18" s="250"/>
      <c r="M18" s="250"/>
      <c r="N18" s="250"/>
      <c r="O18" s="250"/>
      <c r="P18" s="250"/>
      <c r="Q18" s="250"/>
      <c r="R18" s="250"/>
      <c r="S18" s="250"/>
      <c r="T18" s="250"/>
      <c r="U18" s="250"/>
      <c r="V18" s="250"/>
      <c r="W18" s="250"/>
    </row>
    <row r="19" spans="1:24" ht="12.75" customHeight="1" x14ac:dyDescent="0.25">
      <c r="A19" s="383" t="s">
        <v>961</v>
      </c>
      <c r="B19" s="385"/>
      <c r="C19" s="284"/>
      <c r="D19" s="282"/>
      <c r="E19" s="283"/>
      <c r="F19" s="419"/>
      <c r="G19" s="282"/>
      <c r="H19" s="283"/>
      <c r="I19" s="284"/>
      <c r="J19" s="282"/>
      <c r="K19" s="283"/>
      <c r="L19" s="250"/>
      <c r="M19" s="250"/>
      <c r="N19" s="250"/>
      <c r="O19" s="250"/>
      <c r="P19" s="250"/>
      <c r="Q19" s="250"/>
      <c r="R19" s="250"/>
      <c r="S19" s="250"/>
      <c r="T19" s="250"/>
      <c r="U19" s="250"/>
      <c r="V19" s="250"/>
      <c r="W19" s="250"/>
    </row>
    <row r="20" spans="1:24" ht="12.75" customHeight="1" x14ac:dyDescent="0.25">
      <c r="A20" s="251" t="s">
        <v>30</v>
      </c>
      <c r="B20" s="385"/>
      <c r="C20" s="284">
        <v>4635454</v>
      </c>
      <c r="D20" s="282">
        <v>5475832.8399999999</v>
      </c>
      <c r="E20" s="283">
        <v>4825855.34</v>
      </c>
      <c r="F20" s="419">
        <f>[5]Sheet1!$G$14</f>
        <v>5500000</v>
      </c>
      <c r="G20" s="282">
        <v>842903</v>
      </c>
      <c r="H20" s="283">
        <v>6342903</v>
      </c>
      <c r="I20" s="284">
        <v>6734701</v>
      </c>
      <c r="J20" s="282">
        <v>6948783</v>
      </c>
      <c r="K20" s="283">
        <v>7363710</v>
      </c>
      <c r="L20" s="250"/>
      <c r="M20" s="250"/>
      <c r="N20" s="250"/>
      <c r="O20" s="250"/>
      <c r="P20" s="250"/>
      <c r="Q20" s="250"/>
      <c r="R20" s="250"/>
      <c r="S20" s="250"/>
      <c r="T20" s="250"/>
      <c r="U20" s="250"/>
      <c r="V20" s="250"/>
      <c r="W20" s="250"/>
      <c r="X20" s="252"/>
    </row>
    <row r="21" spans="1:24" ht="12.75" customHeight="1" x14ac:dyDescent="0.25">
      <c r="A21" s="248" t="s">
        <v>381</v>
      </c>
      <c r="B21" s="385"/>
      <c r="C21" s="284"/>
      <c r="D21" s="282"/>
      <c r="E21" s="286"/>
      <c r="F21" s="419"/>
      <c r="G21" s="282"/>
      <c r="H21" s="283"/>
      <c r="I21" s="284"/>
      <c r="J21" s="282"/>
      <c r="K21" s="283"/>
      <c r="L21" s="250"/>
      <c r="M21" s="250"/>
      <c r="N21" s="250"/>
      <c r="O21" s="250"/>
      <c r="P21" s="250"/>
      <c r="Q21" s="250"/>
      <c r="R21" s="250"/>
      <c r="S21" s="250"/>
      <c r="T21" s="250"/>
      <c r="U21" s="250"/>
      <c r="V21" s="250"/>
      <c r="W21" s="250"/>
    </row>
    <row r="22" spans="1:24" ht="24.75" customHeight="1" x14ac:dyDescent="0.25">
      <c r="A22" s="537" t="s">
        <v>585</v>
      </c>
      <c r="B22" s="538"/>
      <c r="C22" s="255">
        <f t="shared" ref="C22:K22" si="0">SUM(C5:C21)</f>
        <v>4663390</v>
      </c>
      <c r="D22" s="253">
        <f t="shared" si="0"/>
        <v>5492643.8399999999</v>
      </c>
      <c r="E22" s="254">
        <f t="shared" si="0"/>
        <v>4858976.49</v>
      </c>
      <c r="F22" s="255">
        <f t="shared" si="0"/>
        <v>5500000</v>
      </c>
      <c r="G22" s="253">
        <f t="shared" si="0"/>
        <v>842903</v>
      </c>
      <c r="H22" s="254">
        <f t="shared" si="0"/>
        <v>6342903</v>
      </c>
      <c r="I22" s="255">
        <f t="shared" si="0"/>
        <v>6734701</v>
      </c>
      <c r="J22" s="253">
        <f t="shared" si="0"/>
        <v>6948783</v>
      </c>
      <c r="K22" s="254">
        <f t="shared" si="0"/>
        <v>7363710</v>
      </c>
      <c r="L22" s="256">
        <f t="shared" ref="L22:W22" si="1">SUM(L5:L20)</f>
        <v>0</v>
      </c>
      <c r="M22" s="256">
        <f t="shared" si="1"/>
        <v>0</v>
      </c>
      <c r="N22" s="256">
        <f t="shared" si="1"/>
        <v>0</v>
      </c>
      <c r="O22" s="256">
        <f t="shared" si="1"/>
        <v>0</v>
      </c>
      <c r="P22" s="256">
        <f t="shared" si="1"/>
        <v>0</v>
      </c>
      <c r="Q22" s="256">
        <f t="shared" si="1"/>
        <v>0</v>
      </c>
      <c r="R22" s="256">
        <f t="shared" si="1"/>
        <v>0</v>
      </c>
      <c r="S22" s="256">
        <f t="shared" si="1"/>
        <v>0</v>
      </c>
      <c r="T22" s="256">
        <f t="shared" si="1"/>
        <v>0</v>
      </c>
      <c r="U22" s="256">
        <f t="shared" si="1"/>
        <v>0</v>
      </c>
      <c r="V22" s="256">
        <f t="shared" si="1"/>
        <v>0</v>
      </c>
      <c r="W22" s="256">
        <f t="shared" si="1"/>
        <v>0</v>
      </c>
    </row>
    <row r="23" spans="1:24" ht="5.0999999999999996" customHeight="1" x14ac:dyDescent="0.25">
      <c r="A23" s="257"/>
      <c r="B23" s="385"/>
      <c r="C23" s="246"/>
      <c r="D23" s="244"/>
      <c r="E23" s="245"/>
      <c r="F23" s="246"/>
      <c r="G23" s="244"/>
      <c r="H23" s="245"/>
      <c r="I23" s="246"/>
      <c r="J23" s="244"/>
      <c r="K23" s="245"/>
      <c r="L23" s="250"/>
      <c r="M23" s="250"/>
      <c r="N23" s="250"/>
      <c r="O23" s="250"/>
      <c r="P23" s="250"/>
      <c r="Q23" s="250"/>
      <c r="R23" s="250"/>
      <c r="S23" s="250"/>
      <c r="T23" s="250"/>
      <c r="U23" s="250"/>
      <c r="V23" s="250"/>
      <c r="W23" s="250"/>
    </row>
    <row r="24" spans="1:24" ht="12.75" customHeight="1" x14ac:dyDescent="0.25">
      <c r="A24" s="243" t="s">
        <v>60</v>
      </c>
      <c r="B24" s="386"/>
      <c r="C24" s="246"/>
      <c r="D24" s="244"/>
      <c r="E24" s="245"/>
      <c r="F24" s="246"/>
      <c r="G24" s="244"/>
      <c r="H24" s="245"/>
      <c r="I24" s="246"/>
      <c r="J24" s="244"/>
      <c r="K24" s="245"/>
      <c r="L24" s="250"/>
      <c r="M24" s="250"/>
      <c r="N24" s="250"/>
      <c r="O24" s="250"/>
      <c r="P24" s="250"/>
      <c r="Q24" s="250"/>
      <c r="R24" s="250"/>
      <c r="S24" s="250"/>
      <c r="T24" s="250"/>
      <c r="U24" s="250"/>
      <c r="V24" s="250"/>
      <c r="W24" s="250"/>
    </row>
    <row r="25" spans="1:24" ht="12.75" customHeight="1" x14ac:dyDescent="0.25">
      <c r="A25" s="248" t="s">
        <v>382</v>
      </c>
      <c r="B25" s="385"/>
      <c r="C25" s="284">
        <v>1521107</v>
      </c>
      <c r="D25" s="282">
        <v>3105414</v>
      </c>
      <c r="E25" s="283">
        <v>8837194.6500000004</v>
      </c>
      <c r="F25" s="284">
        <v>3559969.47</v>
      </c>
      <c r="G25" s="282">
        <v>-321395.98</v>
      </c>
      <c r="H25" s="283">
        <v>3238573.49</v>
      </c>
      <c r="I25" s="284">
        <v>3465273.65</v>
      </c>
      <c r="J25" s="282">
        <v>3715181.69</v>
      </c>
      <c r="K25" s="282">
        <f>3009391.05+973926.14</f>
        <v>3983317.19</v>
      </c>
      <c r="L25" s="250"/>
      <c r="M25" s="250"/>
      <c r="N25" s="250"/>
      <c r="O25" s="250"/>
      <c r="P25" s="250"/>
      <c r="Q25" s="250"/>
      <c r="R25" s="250"/>
      <c r="S25" s="250"/>
      <c r="T25" s="250"/>
      <c r="U25" s="250"/>
      <c r="V25" s="250"/>
      <c r="W25" s="250"/>
    </row>
    <row r="26" spans="1:24" ht="12.75" customHeight="1" x14ac:dyDescent="0.25">
      <c r="A26" s="248" t="s">
        <v>76</v>
      </c>
      <c r="B26" s="385"/>
      <c r="C26" s="284">
        <v>484324</v>
      </c>
      <c r="D26" s="282">
        <v>579656</v>
      </c>
      <c r="E26" s="283">
        <v>416446.86</v>
      </c>
      <c r="F26" s="284">
        <v>328000</v>
      </c>
      <c r="G26" s="282">
        <v>664474</v>
      </c>
      <c r="H26" s="283">
        <v>992474</v>
      </c>
      <c r="I26" s="284">
        <v>1137031.82</v>
      </c>
      <c r="J26" s="282">
        <v>1217260.06</v>
      </c>
      <c r="K26" s="283">
        <v>1303167.8500000001</v>
      </c>
      <c r="L26" s="250"/>
      <c r="M26" s="250"/>
      <c r="N26" s="250"/>
      <c r="O26" s="250"/>
      <c r="P26" s="250"/>
      <c r="Q26" s="250"/>
      <c r="R26" s="250"/>
      <c r="S26" s="250"/>
      <c r="T26" s="250"/>
      <c r="U26" s="250"/>
      <c r="V26" s="250"/>
      <c r="W26" s="250"/>
    </row>
    <row r="27" spans="1:24" ht="12.75" customHeight="1" x14ac:dyDescent="0.25">
      <c r="A27" s="248" t="s">
        <v>172</v>
      </c>
      <c r="B27" s="385">
        <v>4</v>
      </c>
      <c r="C27" s="284"/>
      <c r="D27" s="282"/>
      <c r="E27" s="283"/>
      <c r="F27" s="284"/>
      <c r="G27" s="282"/>
      <c r="H27" s="283"/>
      <c r="I27" s="284"/>
      <c r="J27" s="282"/>
      <c r="K27" s="283"/>
      <c r="L27" s="250"/>
      <c r="M27" s="250"/>
      <c r="N27" s="250"/>
      <c r="O27" s="250"/>
      <c r="P27" s="250"/>
      <c r="Q27" s="250"/>
      <c r="R27" s="250"/>
      <c r="S27" s="250"/>
      <c r="T27" s="250"/>
      <c r="U27" s="250"/>
      <c r="V27" s="250"/>
      <c r="W27" s="250"/>
    </row>
    <row r="28" spans="1:24" ht="12.75" customHeight="1" x14ac:dyDescent="0.25">
      <c r="A28" s="248" t="s">
        <v>383</v>
      </c>
      <c r="B28" s="385"/>
      <c r="C28" s="284"/>
      <c r="D28" s="282"/>
      <c r="E28" s="283"/>
      <c r="F28" s="284"/>
      <c r="G28" s="282"/>
      <c r="H28" s="283"/>
      <c r="I28" s="284"/>
      <c r="J28" s="282"/>
      <c r="K28" s="283"/>
      <c r="L28" s="250"/>
      <c r="M28" s="250"/>
      <c r="N28" s="250"/>
      <c r="O28" s="250"/>
      <c r="P28" s="250"/>
      <c r="Q28" s="250"/>
      <c r="R28" s="250"/>
      <c r="S28" s="250"/>
      <c r="T28" s="250"/>
      <c r="U28" s="250"/>
      <c r="V28" s="250"/>
      <c r="W28" s="250"/>
    </row>
    <row r="29" spans="1:24" ht="12.75" customHeight="1" x14ac:dyDescent="0.25">
      <c r="A29" s="248" t="s">
        <v>220</v>
      </c>
      <c r="B29" s="385"/>
      <c r="C29" s="284"/>
      <c r="D29" s="282"/>
      <c r="E29" s="283"/>
      <c r="F29" s="284"/>
      <c r="G29" s="282"/>
      <c r="H29" s="283"/>
      <c r="I29" s="284"/>
      <c r="J29" s="282"/>
      <c r="K29" s="283"/>
      <c r="L29" s="250"/>
      <c r="M29" s="250"/>
      <c r="N29" s="250"/>
      <c r="O29" s="250"/>
      <c r="P29" s="250"/>
      <c r="Q29" s="250"/>
      <c r="R29" s="250"/>
      <c r="S29" s="250"/>
      <c r="T29" s="250"/>
      <c r="U29" s="250"/>
      <c r="V29" s="250"/>
      <c r="W29" s="250"/>
    </row>
    <row r="30" spans="1:24" ht="12.75" customHeight="1" x14ac:dyDescent="0.25">
      <c r="A30" s="248" t="s">
        <v>29</v>
      </c>
      <c r="B30" s="385"/>
      <c r="C30" s="284">
        <v>0</v>
      </c>
      <c r="D30" s="282">
        <v>0</v>
      </c>
      <c r="E30" s="283">
        <v>0</v>
      </c>
      <c r="F30" s="284">
        <v>0</v>
      </c>
      <c r="G30" s="282">
        <v>0</v>
      </c>
      <c r="H30" s="283"/>
      <c r="I30" s="284"/>
      <c r="J30" s="282"/>
      <c r="K30" s="283"/>
      <c r="L30" s="250"/>
      <c r="M30" s="250"/>
      <c r="N30" s="250"/>
      <c r="O30" s="250"/>
      <c r="P30" s="250"/>
      <c r="Q30" s="250"/>
      <c r="R30" s="250"/>
      <c r="S30" s="250"/>
      <c r="T30" s="250"/>
      <c r="U30" s="250"/>
      <c r="V30" s="250"/>
      <c r="W30" s="250"/>
    </row>
    <row r="31" spans="1:24" ht="12.75" customHeight="1" x14ac:dyDescent="0.25">
      <c r="A31" s="248" t="s">
        <v>384</v>
      </c>
      <c r="B31" s="385">
        <v>2</v>
      </c>
      <c r="C31" s="284"/>
      <c r="D31" s="282"/>
      <c r="E31" s="283"/>
      <c r="F31" s="284"/>
      <c r="G31" s="282"/>
      <c r="H31" s="283"/>
      <c r="I31" s="284"/>
      <c r="J31" s="282"/>
      <c r="K31" s="283"/>
      <c r="L31" s="250"/>
      <c r="M31" s="250"/>
      <c r="N31" s="250"/>
      <c r="O31" s="250"/>
      <c r="P31" s="250"/>
      <c r="Q31" s="250"/>
      <c r="R31" s="250"/>
      <c r="S31" s="250"/>
      <c r="T31" s="250"/>
      <c r="U31" s="250"/>
      <c r="V31" s="250"/>
      <c r="W31" s="250"/>
    </row>
    <row r="32" spans="1:24" ht="12.75" customHeight="1" x14ac:dyDescent="0.25">
      <c r="A32" s="248" t="s">
        <v>432</v>
      </c>
      <c r="B32" s="385">
        <v>5</v>
      </c>
      <c r="C32" s="284"/>
      <c r="D32" s="282"/>
      <c r="E32" s="283"/>
      <c r="F32" s="284"/>
      <c r="G32" s="282"/>
      <c r="H32" s="283"/>
      <c r="I32" s="284"/>
      <c r="J32" s="282"/>
      <c r="K32" s="283"/>
      <c r="L32" s="250"/>
      <c r="M32" s="250"/>
      <c r="N32" s="250"/>
      <c r="O32" s="250"/>
      <c r="P32" s="250"/>
      <c r="Q32" s="250"/>
      <c r="R32" s="250"/>
      <c r="S32" s="250"/>
      <c r="T32" s="250"/>
      <c r="U32" s="250"/>
      <c r="V32" s="250"/>
      <c r="W32" s="250"/>
    </row>
    <row r="33" spans="1:24" ht="12.75" customHeight="1" x14ac:dyDescent="0.25">
      <c r="A33" s="248" t="s">
        <v>385</v>
      </c>
      <c r="B33" s="385"/>
      <c r="C33" s="284">
        <v>97781</v>
      </c>
      <c r="D33" s="282">
        <v>401320</v>
      </c>
      <c r="E33" s="283">
        <v>432545.92</v>
      </c>
      <c r="F33" s="284">
        <v>406765</v>
      </c>
      <c r="G33" s="282">
        <v>116289.94</v>
      </c>
      <c r="H33" s="283">
        <v>523054.94</v>
      </c>
      <c r="I33" s="284">
        <v>522050.68</v>
      </c>
      <c r="J33" s="282">
        <v>411373.72</v>
      </c>
      <c r="K33" s="283">
        <v>436056.14</v>
      </c>
      <c r="L33" s="250"/>
      <c r="M33" s="250"/>
      <c r="N33" s="250"/>
      <c r="O33" s="250"/>
      <c r="P33" s="250"/>
      <c r="Q33" s="250"/>
      <c r="R33" s="250"/>
      <c r="S33" s="250"/>
      <c r="T33" s="250"/>
      <c r="U33" s="250"/>
      <c r="V33" s="250"/>
      <c r="W33" s="250"/>
    </row>
    <row r="34" spans="1:24" ht="12.75" customHeight="1" x14ac:dyDescent="0.25">
      <c r="A34" s="382" t="s">
        <v>586</v>
      </c>
      <c r="B34" s="385"/>
      <c r="C34" s="284"/>
      <c r="D34" s="282"/>
      <c r="E34" s="283"/>
      <c r="F34" s="284"/>
      <c r="G34" s="282"/>
      <c r="H34" s="283"/>
      <c r="I34" s="284"/>
      <c r="J34" s="282"/>
      <c r="K34" s="283"/>
      <c r="L34" s="250"/>
      <c r="M34" s="250"/>
      <c r="N34" s="250"/>
      <c r="O34" s="250"/>
      <c r="P34" s="250"/>
      <c r="Q34" s="250"/>
      <c r="R34" s="250"/>
      <c r="S34" s="250"/>
      <c r="T34" s="250"/>
      <c r="U34" s="250"/>
      <c r="V34" s="250"/>
      <c r="W34" s="250"/>
    </row>
    <row r="35" spans="1:24" ht="12.75" customHeight="1" x14ac:dyDescent="0.25">
      <c r="A35" s="248" t="s">
        <v>8</v>
      </c>
      <c r="B35" s="385">
        <v>3</v>
      </c>
      <c r="C35" s="284">
        <f>2312810</f>
        <v>2312810</v>
      </c>
      <c r="D35" s="282">
        <f>1519337+82089+20828+8887</f>
        <v>1631141</v>
      </c>
      <c r="E35" s="283">
        <f>1344266.05+87245.41+99392.77+39119.03</f>
        <v>1570023.26</v>
      </c>
      <c r="F35" s="284">
        <f>1036859.53+62000+83106+21300</f>
        <v>1203265.53</v>
      </c>
      <c r="G35" s="282">
        <f>342618.59+40916.45</f>
        <v>383535.04000000004</v>
      </c>
      <c r="H35" s="283">
        <f>1379478.12+102916.45+83106+21300</f>
        <v>1586800.57</v>
      </c>
      <c r="I35" s="284">
        <f>1132291.46+109091.44+111682.66+22578</f>
        <v>1375643.5599999998</v>
      </c>
      <c r="J35" s="282">
        <f>1098231.32+115636.92+118383.62+23932.68</f>
        <v>1356184.5399999998</v>
      </c>
      <c r="K35" s="282">
        <f>1104028.42+122575.14+125486.64+25368.64</f>
        <v>1377458.8399999996</v>
      </c>
      <c r="L35" s="250"/>
      <c r="M35" s="250"/>
      <c r="N35" s="250"/>
      <c r="O35" s="250"/>
      <c r="P35" s="250"/>
      <c r="Q35" s="250"/>
      <c r="R35" s="250"/>
      <c r="S35" s="250"/>
      <c r="T35" s="250"/>
      <c r="U35" s="250"/>
      <c r="V35" s="250"/>
      <c r="W35" s="250"/>
    </row>
    <row r="36" spans="1:24" ht="12.75" customHeight="1" x14ac:dyDescent="0.25">
      <c r="A36" s="248" t="s">
        <v>140</v>
      </c>
      <c r="B36" s="385"/>
      <c r="C36" s="287"/>
      <c r="D36" s="282"/>
      <c r="E36" s="283"/>
      <c r="F36" s="284"/>
      <c r="G36" s="282"/>
      <c r="H36" s="283"/>
      <c r="I36" s="284"/>
      <c r="J36" s="282"/>
      <c r="K36" s="283"/>
      <c r="L36" s="250"/>
      <c r="M36" s="250"/>
      <c r="N36" s="250"/>
      <c r="O36" s="250"/>
      <c r="P36" s="250"/>
      <c r="Q36" s="250"/>
      <c r="R36" s="250"/>
      <c r="S36" s="250"/>
      <c r="T36" s="250"/>
      <c r="U36" s="250"/>
      <c r="V36" s="250"/>
      <c r="W36" s="250"/>
    </row>
    <row r="37" spans="1:24" ht="12.75" customHeight="1" x14ac:dyDescent="0.25">
      <c r="A37" s="539" t="s">
        <v>62</v>
      </c>
      <c r="B37" s="538"/>
      <c r="C37" s="255">
        <f t="shared" ref="C37:H37" si="2">SUM(C25:C36)</f>
        <v>4416022</v>
      </c>
      <c r="D37" s="253">
        <f t="shared" si="2"/>
        <v>5717531</v>
      </c>
      <c r="E37" s="254">
        <f t="shared" si="2"/>
        <v>11256210.689999999</v>
      </c>
      <c r="F37" s="255">
        <f t="shared" si="2"/>
        <v>5498000.0000000009</v>
      </c>
      <c r="G37" s="253">
        <f t="shared" si="2"/>
        <v>842903</v>
      </c>
      <c r="H37" s="254">
        <f t="shared" si="2"/>
        <v>6340903.0000000009</v>
      </c>
      <c r="I37" s="255">
        <f>SUM(I25:I36)</f>
        <v>6499999.709999999</v>
      </c>
      <c r="J37" s="253">
        <f>SUM(J25:J36)</f>
        <v>6700000.0099999998</v>
      </c>
      <c r="K37" s="254">
        <f>SUM(K25:K36)</f>
        <v>7100000.0199999996</v>
      </c>
      <c r="L37" s="256"/>
      <c r="M37" s="256"/>
      <c r="N37" s="256"/>
      <c r="O37" s="256"/>
      <c r="P37" s="256"/>
      <c r="Q37" s="256"/>
      <c r="R37" s="256"/>
      <c r="S37" s="256"/>
      <c r="T37" s="256"/>
      <c r="U37" s="256"/>
      <c r="V37" s="256"/>
      <c r="W37" s="256"/>
    </row>
    <row r="38" spans="1:24" ht="5.0999999999999996" customHeight="1" x14ac:dyDescent="0.25">
      <c r="A38" s="258"/>
      <c r="B38" s="385"/>
      <c r="C38" s="246"/>
      <c r="D38" s="244"/>
      <c r="E38" s="245"/>
      <c r="F38" s="246"/>
      <c r="G38" s="244"/>
      <c r="H38" s="245"/>
      <c r="I38" s="246"/>
      <c r="J38" s="244"/>
      <c r="K38" s="245"/>
      <c r="L38" s="256"/>
      <c r="M38" s="256"/>
      <c r="N38" s="256"/>
      <c r="O38" s="256"/>
      <c r="P38" s="256"/>
      <c r="Q38" s="256"/>
      <c r="R38" s="256"/>
      <c r="S38" s="256"/>
      <c r="T38" s="256"/>
      <c r="U38" s="256"/>
      <c r="V38" s="256"/>
      <c r="W38" s="256"/>
    </row>
    <row r="39" spans="1:24" ht="12.75" customHeight="1" x14ac:dyDescent="0.25">
      <c r="A39" s="258" t="s">
        <v>63</v>
      </c>
      <c r="B39" s="385"/>
      <c r="C39" s="261">
        <f>C22-C37</f>
        <v>247368</v>
      </c>
      <c r="D39" s="259">
        <f t="shared" ref="D39:K39" si="3">D22-D37</f>
        <v>-224887.16000000015</v>
      </c>
      <c r="E39" s="260">
        <f t="shared" si="3"/>
        <v>-6397234.1999999993</v>
      </c>
      <c r="F39" s="261">
        <f t="shared" si="3"/>
        <v>1999.9999999990687</v>
      </c>
      <c r="G39" s="259">
        <f t="shared" si="3"/>
        <v>0</v>
      </c>
      <c r="H39" s="260">
        <f t="shared" si="3"/>
        <v>1999.9999999990687</v>
      </c>
      <c r="I39" s="261">
        <f t="shared" si="3"/>
        <v>234701.29000000097</v>
      </c>
      <c r="J39" s="259">
        <f t="shared" si="3"/>
        <v>248782.99000000022</v>
      </c>
      <c r="K39" s="260">
        <f t="shared" si="3"/>
        <v>263709.98000000045</v>
      </c>
      <c r="L39" s="256"/>
      <c r="M39" s="256"/>
      <c r="N39" s="256"/>
      <c r="O39" s="256"/>
      <c r="P39" s="256"/>
      <c r="Q39" s="256"/>
      <c r="R39" s="256"/>
      <c r="S39" s="256"/>
      <c r="T39" s="256"/>
      <c r="U39" s="256"/>
      <c r="V39" s="256"/>
      <c r="W39" s="256"/>
    </row>
    <row r="40" spans="1:24" ht="12.75" customHeight="1" x14ac:dyDescent="0.25">
      <c r="A40" s="248" t="s">
        <v>470</v>
      </c>
      <c r="B40" s="385"/>
      <c r="C40" s="284"/>
      <c r="D40" s="282"/>
      <c r="E40" s="283"/>
      <c r="F40" s="284"/>
      <c r="G40" s="282"/>
      <c r="H40" s="283"/>
      <c r="I40" s="284"/>
      <c r="J40" s="282"/>
      <c r="K40" s="283"/>
      <c r="L40" s="256"/>
      <c r="M40" s="256"/>
      <c r="N40" s="256"/>
      <c r="O40" s="256"/>
      <c r="P40" s="256"/>
      <c r="Q40" s="256"/>
      <c r="R40" s="256"/>
      <c r="S40" s="256"/>
      <c r="T40" s="256"/>
      <c r="U40" s="256"/>
      <c r="V40" s="256"/>
      <c r="W40" s="256"/>
    </row>
    <row r="41" spans="1:24" ht="12.75" customHeight="1" x14ac:dyDescent="0.25">
      <c r="A41" s="383" t="s">
        <v>969</v>
      </c>
      <c r="B41" s="385"/>
      <c r="C41" s="284"/>
      <c r="D41" s="282"/>
      <c r="E41" s="283"/>
      <c r="F41" s="284"/>
      <c r="G41" s="282"/>
      <c r="H41" s="283"/>
      <c r="I41" s="284"/>
      <c r="J41" s="282"/>
      <c r="K41" s="283"/>
      <c r="L41" s="256"/>
      <c r="M41" s="256"/>
      <c r="N41" s="256"/>
      <c r="O41" s="256"/>
      <c r="P41" s="256"/>
      <c r="Q41" s="256"/>
      <c r="R41" s="256"/>
      <c r="S41" s="256"/>
      <c r="T41" s="256"/>
      <c r="U41" s="256"/>
      <c r="V41" s="256"/>
      <c r="W41" s="256"/>
    </row>
    <row r="42" spans="1:24" ht="12.75" customHeight="1" x14ac:dyDescent="0.25">
      <c r="A42" s="248" t="s">
        <v>79</v>
      </c>
      <c r="B42" s="385"/>
      <c r="C42" s="287"/>
      <c r="D42" s="285"/>
      <c r="E42" s="286"/>
      <c r="F42" s="287"/>
      <c r="G42" s="285"/>
      <c r="H42" s="286"/>
      <c r="I42" s="287"/>
      <c r="J42" s="285"/>
      <c r="K42" s="286"/>
      <c r="L42" s="256"/>
      <c r="M42" s="256"/>
      <c r="N42" s="256"/>
      <c r="O42" s="256"/>
      <c r="P42" s="256"/>
      <c r="Q42" s="256"/>
      <c r="R42" s="256"/>
      <c r="S42" s="256"/>
      <c r="T42" s="256"/>
      <c r="U42" s="256"/>
      <c r="V42" s="256"/>
      <c r="W42" s="256"/>
    </row>
    <row r="43" spans="1:24" ht="25.5" x14ac:dyDescent="0.25">
      <c r="A43" s="374" t="s">
        <v>651</v>
      </c>
      <c r="B43" s="387"/>
      <c r="C43" s="264">
        <f t="shared" ref="C43:K43" si="4">SUM(C39:C42)</f>
        <v>247368</v>
      </c>
      <c r="D43" s="262">
        <f t="shared" si="4"/>
        <v>-224887.16000000015</v>
      </c>
      <c r="E43" s="263">
        <f t="shared" si="4"/>
        <v>-6397234.1999999993</v>
      </c>
      <c r="F43" s="264">
        <f t="shared" si="4"/>
        <v>1999.9999999990687</v>
      </c>
      <c r="G43" s="262">
        <f t="shared" si="4"/>
        <v>0</v>
      </c>
      <c r="H43" s="263">
        <f t="shared" si="4"/>
        <v>1999.9999999990687</v>
      </c>
      <c r="I43" s="264">
        <f t="shared" si="4"/>
        <v>234701.29000000097</v>
      </c>
      <c r="J43" s="262">
        <f t="shared" si="4"/>
        <v>248782.99000000022</v>
      </c>
      <c r="K43" s="263">
        <f t="shared" si="4"/>
        <v>263709.98000000045</v>
      </c>
      <c r="L43" s="256"/>
      <c r="M43" s="256"/>
      <c r="N43" s="256"/>
      <c r="O43" s="256"/>
      <c r="P43" s="256"/>
      <c r="Q43" s="256"/>
      <c r="R43" s="256"/>
      <c r="S43" s="256"/>
      <c r="T43" s="256"/>
      <c r="U43" s="256"/>
      <c r="V43" s="256"/>
      <c r="W43" s="256"/>
    </row>
    <row r="44" spans="1:24" ht="12.75" customHeight="1" x14ac:dyDescent="0.25">
      <c r="A44" s="248" t="s">
        <v>42</v>
      </c>
      <c r="B44" s="249"/>
      <c r="C44" s="284"/>
      <c r="D44" s="282">
        <v>20066</v>
      </c>
      <c r="E44" s="283">
        <v>69213</v>
      </c>
      <c r="F44" s="284"/>
      <c r="G44" s="282"/>
      <c r="H44" s="283">
        <v>0</v>
      </c>
      <c r="I44" s="284">
        <v>0</v>
      </c>
      <c r="J44" s="282">
        <v>0</v>
      </c>
      <c r="K44" s="283">
        <v>0</v>
      </c>
      <c r="L44" s="256"/>
      <c r="M44" s="256"/>
      <c r="N44" s="256"/>
      <c r="O44" s="256"/>
      <c r="P44" s="256"/>
      <c r="Q44" s="256"/>
      <c r="R44" s="256"/>
      <c r="S44" s="256"/>
      <c r="T44" s="256"/>
      <c r="U44" s="256"/>
      <c r="V44" s="256"/>
      <c r="W44" s="256"/>
    </row>
    <row r="45" spans="1:24" ht="12.75" customHeight="1" x14ac:dyDescent="0.25">
      <c r="A45" s="265" t="s">
        <v>411</v>
      </c>
      <c r="B45" s="266"/>
      <c r="C45" s="269">
        <f>C43-C44</f>
        <v>247368</v>
      </c>
      <c r="D45" s="267">
        <f t="shared" ref="D45:K45" si="5">D43-D44</f>
        <v>-244953.16000000015</v>
      </c>
      <c r="E45" s="268">
        <f t="shared" si="5"/>
        <v>-6466447.1999999993</v>
      </c>
      <c r="F45" s="269">
        <f t="shared" si="5"/>
        <v>1999.9999999990687</v>
      </c>
      <c r="G45" s="267">
        <f t="shared" si="5"/>
        <v>0</v>
      </c>
      <c r="H45" s="268">
        <f t="shared" si="5"/>
        <v>1999.9999999990687</v>
      </c>
      <c r="I45" s="269">
        <f t="shared" si="5"/>
        <v>234701.29000000097</v>
      </c>
      <c r="J45" s="267">
        <f t="shared" si="5"/>
        <v>248782.99000000022</v>
      </c>
      <c r="K45" s="268">
        <f t="shared" si="5"/>
        <v>263709.98000000045</v>
      </c>
      <c r="L45" s="256"/>
      <c r="M45" s="256"/>
      <c r="N45" s="256"/>
      <c r="O45" s="256"/>
      <c r="P45" s="256"/>
      <c r="Q45" s="256"/>
      <c r="R45" s="256"/>
      <c r="S45" s="256"/>
      <c r="T45" s="256"/>
      <c r="U45" s="256"/>
      <c r="V45" s="256"/>
      <c r="W45" s="256"/>
    </row>
    <row r="46" spans="1:24" ht="12.75" customHeight="1" x14ac:dyDescent="0.25">
      <c r="A46" s="270" t="s">
        <v>204</v>
      </c>
      <c r="B46" s="271"/>
      <c r="C46" s="274"/>
      <c r="D46" s="272"/>
      <c r="E46" s="273"/>
      <c r="F46" s="274"/>
      <c r="G46" s="272"/>
      <c r="H46" s="273"/>
      <c r="I46" s="274"/>
      <c r="J46" s="272"/>
      <c r="K46" s="273"/>
      <c r="L46" s="256"/>
      <c r="M46" s="256"/>
      <c r="N46" s="256"/>
      <c r="O46" s="256"/>
      <c r="P46" s="256"/>
      <c r="Q46" s="256"/>
      <c r="R46" s="256"/>
      <c r="S46" s="256"/>
      <c r="T46" s="256"/>
      <c r="U46" s="256"/>
      <c r="V46" s="256"/>
      <c r="W46" s="256"/>
      <c r="X46" s="275"/>
    </row>
    <row r="47" spans="1:24" ht="12.75" customHeight="1" x14ac:dyDescent="0.25">
      <c r="A47" s="276" t="s">
        <v>78</v>
      </c>
      <c r="B47" s="271"/>
      <c r="C47" s="290"/>
      <c r="D47" s="288"/>
      <c r="E47" s="289"/>
      <c r="F47" s="290"/>
      <c r="G47" s="288"/>
      <c r="H47" s="289"/>
      <c r="I47" s="290"/>
      <c r="J47" s="288"/>
      <c r="K47" s="289"/>
      <c r="L47" s="256"/>
      <c r="M47" s="256"/>
      <c r="N47" s="256"/>
      <c r="O47" s="256"/>
      <c r="P47" s="256"/>
      <c r="Q47" s="256"/>
      <c r="R47" s="256"/>
      <c r="S47" s="256"/>
      <c r="T47" s="256"/>
      <c r="U47" s="256"/>
      <c r="V47" s="256"/>
      <c r="W47" s="256"/>
      <c r="X47" s="275"/>
    </row>
    <row r="48" spans="1:24" ht="12.75" customHeight="1" x14ac:dyDescent="0.25">
      <c r="A48" s="276" t="s">
        <v>462</v>
      </c>
      <c r="B48" s="271"/>
      <c r="C48" s="290"/>
      <c r="D48" s="288"/>
      <c r="E48" s="289"/>
      <c r="F48" s="290"/>
      <c r="G48" s="288"/>
      <c r="H48" s="289"/>
      <c r="I48" s="290"/>
      <c r="J48" s="288"/>
      <c r="K48" s="289"/>
      <c r="L48" s="256"/>
      <c r="M48" s="256"/>
      <c r="N48" s="256"/>
      <c r="O48" s="256"/>
      <c r="P48" s="256"/>
      <c r="Q48" s="256"/>
      <c r="R48" s="256"/>
      <c r="S48" s="256"/>
      <c r="T48" s="256"/>
      <c r="U48" s="256"/>
      <c r="V48" s="256"/>
      <c r="W48" s="256"/>
      <c r="X48" s="275"/>
    </row>
    <row r="49" spans="1:24" ht="12.75" customHeight="1" x14ac:dyDescent="0.25">
      <c r="A49" s="276" t="s">
        <v>77</v>
      </c>
      <c r="B49" s="271"/>
      <c r="C49" s="290"/>
      <c r="D49" s="288"/>
      <c r="E49" s="289"/>
      <c r="F49" s="290"/>
      <c r="G49" s="288"/>
      <c r="H49" s="289"/>
      <c r="I49" s="290"/>
      <c r="J49" s="288"/>
      <c r="K49" s="289"/>
      <c r="L49" s="256"/>
      <c r="M49" s="256"/>
      <c r="N49" s="256"/>
      <c r="O49" s="256"/>
      <c r="P49" s="256"/>
      <c r="Q49" s="256"/>
      <c r="R49" s="256"/>
      <c r="S49" s="256"/>
      <c r="T49" s="256"/>
      <c r="U49" s="256"/>
      <c r="V49" s="256"/>
      <c r="W49" s="256"/>
      <c r="X49" s="275"/>
    </row>
    <row r="50" spans="1:24" ht="12.75" customHeight="1" x14ac:dyDescent="0.25">
      <c r="A50" s="277" t="s">
        <v>657</v>
      </c>
      <c r="B50" s="278"/>
      <c r="C50" s="293"/>
      <c r="D50" s="291"/>
      <c r="E50" s="292"/>
      <c r="F50" s="293"/>
      <c r="G50" s="291"/>
      <c r="H50" s="292"/>
      <c r="I50" s="293"/>
      <c r="J50" s="291"/>
      <c r="K50" s="292"/>
      <c r="L50" s="250"/>
      <c r="M50" s="250"/>
      <c r="N50" s="250"/>
      <c r="O50" s="250"/>
      <c r="P50" s="250"/>
      <c r="Q50" s="250"/>
      <c r="R50" s="250"/>
      <c r="S50" s="250"/>
      <c r="T50" s="250"/>
      <c r="U50" s="250"/>
      <c r="V50" s="250"/>
      <c r="W50" s="250"/>
    </row>
    <row r="51" spans="1:24" x14ac:dyDescent="0.25">
      <c r="A51" s="540" t="s">
        <v>655</v>
      </c>
      <c r="E51" s="279"/>
      <c r="F51" s="279"/>
      <c r="G51" s="279"/>
      <c r="H51" s="279"/>
      <c r="I51" s="279"/>
      <c r="J51" s="279"/>
      <c r="K51" s="279"/>
      <c r="L51" s="279"/>
      <c r="M51" s="279"/>
      <c r="N51" s="279"/>
      <c r="O51" s="279"/>
      <c r="P51" s="279"/>
      <c r="Q51" s="279"/>
      <c r="R51" s="279"/>
      <c r="S51" s="279"/>
      <c r="T51" s="279"/>
      <c r="U51" s="279"/>
      <c r="V51" s="279"/>
      <c r="W51" s="279"/>
    </row>
    <row r="52" spans="1:24" x14ac:dyDescent="0.25">
      <c r="A52" s="540" t="s">
        <v>656</v>
      </c>
      <c r="B52" s="281"/>
      <c r="C52" s="280"/>
      <c r="D52" s="280"/>
      <c r="E52" s="279"/>
      <c r="F52" s="279"/>
      <c r="G52" s="279"/>
      <c r="H52" s="279"/>
      <c r="I52" s="279"/>
      <c r="J52" s="279"/>
      <c r="K52" s="279"/>
      <c r="L52" s="279"/>
      <c r="M52" s="279"/>
      <c r="N52" s="279"/>
      <c r="O52" s="279"/>
      <c r="P52" s="279"/>
      <c r="Q52" s="279"/>
      <c r="R52" s="279"/>
      <c r="S52" s="279"/>
      <c r="T52" s="279"/>
      <c r="U52" s="279"/>
      <c r="V52" s="279"/>
      <c r="W52" s="279"/>
    </row>
  </sheetData>
  <sheetProtection password="A35B" sheet="1" objects="1" scenarios="1"/>
  <phoneticPr fontId="2" type="noConversion"/>
  <printOptions horizontalCentered="1"/>
  <pageMargins left="0.35433070866141736" right="0.19685039370078741" top="0.78740157480314965" bottom="0.59055118110236227" header="0.51181102362204722" footer="0.39370078740157483"/>
  <pageSetup paperSize="9" scale="8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7">
    <tabColor indexed="44"/>
    <pageSetUpPr fitToPage="1"/>
  </sheetPr>
  <dimension ref="A1:W86"/>
  <sheetViews>
    <sheetView showGridLines="0" workbookViewId="0">
      <pane xSplit="2" ySplit="4" topLeftCell="C5" activePane="bottomRight" state="frozen"/>
      <selection activeCell="G21" sqref="G21"/>
      <selection pane="topRight" activeCell="G21" sqref="G21"/>
      <selection pane="bottomLeft" activeCell="G21" sqref="G21"/>
      <selection pane="bottomRight" activeCell="K10" sqref="K10"/>
    </sheetView>
  </sheetViews>
  <sheetFormatPr defaultRowHeight="12.75" x14ac:dyDescent="0.25"/>
  <cols>
    <col min="1" max="1" width="35.140625" style="20" customWidth="1"/>
    <col min="2" max="2" width="3.140625" style="43" customWidth="1"/>
    <col min="3" max="11" width="8.7109375" style="20" customWidth="1"/>
    <col min="12" max="12" width="9.85546875" style="20" customWidth="1"/>
    <col min="13" max="13" width="9.5703125" style="20" customWidth="1"/>
    <col min="14" max="14" width="9.85546875" style="20" customWidth="1"/>
    <col min="15" max="17" width="9.5703125" style="20" customWidth="1"/>
    <col min="18" max="18" width="9.85546875" style="20" customWidth="1"/>
    <col min="19" max="21" width="9.5703125" style="20" customWidth="1"/>
    <col min="22" max="23" width="9.85546875" style="20" customWidth="1"/>
    <col min="24" max="16384" width="9.140625" style="20"/>
  </cols>
  <sheetData>
    <row r="1" spans="1:14" ht="13.5" x14ac:dyDescent="0.25">
      <c r="A1" s="113" t="str">
        <f>_MEB2</f>
        <v>Greater Tzaneen Economic Development Agency (GTEDA) - Table D3 Capital Budget by vote and funding</v>
      </c>
    </row>
    <row r="2" spans="1:14" ht="25.5" x14ac:dyDescent="0.25">
      <c r="A2" s="621" t="str">
        <f>Vdesc</f>
        <v>Vote Description</v>
      </c>
      <c r="B2" s="623" t="str">
        <f>head27</f>
        <v>Ref</v>
      </c>
      <c r="C2" s="109" t="str">
        <f>head1b</f>
        <v>2012/13</v>
      </c>
      <c r="D2" s="21" t="str">
        <f>head1A</f>
        <v>2013/14</v>
      </c>
      <c r="E2" s="103" t="str">
        <f>Head1</f>
        <v>2014/15</v>
      </c>
      <c r="F2" s="629" t="str">
        <f>Head2</f>
        <v>Current Year 2015/16</v>
      </c>
      <c r="G2" s="630"/>
      <c r="H2" s="631"/>
      <c r="I2" s="133" t="str">
        <f>Head3a</f>
        <v>Medium Term Revenue and Expenditure Framework</v>
      </c>
      <c r="J2" s="131"/>
      <c r="K2" s="132"/>
    </row>
    <row r="3" spans="1:14" x14ac:dyDescent="0.25">
      <c r="A3" s="622"/>
      <c r="B3" s="624"/>
      <c r="C3" s="625" t="str">
        <f>Head5</f>
        <v>Audited Outcome</v>
      </c>
      <c r="D3" s="627" t="str">
        <f>Head5</f>
        <v>Audited Outcome</v>
      </c>
      <c r="E3" s="636" t="str">
        <f>Head5</f>
        <v>Audited Outcome</v>
      </c>
      <c r="F3" s="632" t="str">
        <f>Head6</f>
        <v>Original Budget</v>
      </c>
      <c r="G3" s="634" t="str">
        <f>Head7</f>
        <v>Adjusted Budget</v>
      </c>
      <c r="H3" s="636" t="str">
        <f>Head8</f>
        <v>Full Year Forecast</v>
      </c>
      <c r="I3" s="632" t="str">
        <f>Head9</f>
        <v>Budget Year 2016/17</v>
      </c>
      <c r="J3" s="634" t="str">
        <f>Head10</f>
        <v>Budget Year +1 2017/18</v>
      </c>
      <c r="K3" s="636" t="str">
        <f>Head11</f>
        <v>Budget Year +2 2018/19</v>
      </c>
    </row>
    <row r="4" spans="1:14" x14ac:dyDescent="0.25">
      <c r="A4" s="153" t="s">
        <v>225</v>
      </c>
      <c r="B4" s="142">
        <v>1</v>
      </c>
      <c r="C4" s="626"/>
      <c r="D4" s="628"/>
      <c r="E4" s="637"/>
      <c r="F4" s="633"/>
      <c r="G4" s="635"/>
      <c r="H4" s="637"/>
      <c r="I4" s="633"/>
      <c r="J4" s="635"/>
      <c r="K4" s="637"/>
    </row>
    <row r="5" spans="1:14" ht="12.75" customHeight="1" x14ac:dyDescent="0.25">
      <c r="A5" s="22" t="s">
        <v>579</v>
      </c>
      <c r="B5" s="115"/>
      <c r="C5" s="28"/>
      <c r="D5" s="27"/>
      <c r="E5" s="106"/>
      <c r="F5" s="28"/>
      <c r="G5" s="27"/>
      <c r="H5" s="106"/>
      <c r="I5" s="28"/>
      <c r="J5" s="27"/>
      <c r="K5" s="106"/>
    </row>
    <row r="6" spans="1:14" ht="12.75" customHeight="1" x14ac:dyDescent="0.25">
      <c r="A6" s="584" t="s">
        <v>80</v>
      </c>
      <c r="B6" s="115"/>
      <c r="C6" s="284"/>
      <c r="D6" s="282"/>
      <c r="E6" s="283"/>
      <c r="F6" s="284"/>
      <c r="G6" s="282"/>
      <c r="H6" s="283"/>
      <c r="I6" s="284"/>
      <c r="J6" s="282"/>
      <c r="K6" s="283"/>
    </row>
    <row r="7" spans="1:14" ht="12.75" customHeight="1" x14ac:dyDescent="0.25">
      <c r="A7" s="362" t="s">
        <v>1061</v>
      </c>
      <c r="B7" s="115"/>
      <c r="C7" s="284">
        <f>SD7a!C57</f>
        <v>41089</v>
      </c>
      <c r="D7" s="282">
        <v>61968</v>
      </c>
      <c r="E7" s="283">
        <v>2000</v>
      </c>
      <c r="F7" s="284">
        <v>2000</v>
      </c>
      <c r="G7" s="284">
        <f>SD7a!H57</f>
        <v>0</v>
      </c>
      <c r="H7" s="283">
        <v>2000</v>
      </c>
      <c r="I7" s="284">
        <v>234701.3</v>
      </c>
      <c r="J7" s="282">
        <v>248783</v>
      </c>
      <c r="K7" s="283">
        <v>2633709.98</v>
      </c>
    </row>
    <row r="8" spans="1:14" ht="12.75" customHeight="1" x14ac:dyDescent="0.25">
      <c r="A8" s="362"/>
      <c r="B8" s="115"/>
      <c r="C8" s="284"/>
      <c r="D8" s="282"/>
      <c r="E8" s="283"/>
      <c r="F8" s="284"/>
      <c r="G8" s="282"/>
      <c r="H8" s="283"/>
      <c r="I8" s="284"/>
      <c r="J8" s="282"/>
      <c r="K8" s="283"/>
    </row>
    <row r="9" spans="1:14" ht="12.75" customHeight="1" x14ac:dyDescent="0.25">
      <c r="A9" s="362"/>
      <c r="B9" s="115"/>
      <c r="C9" s="284"/>
      <c r="D9" s="282"/>
      <c r="E9" s="283"/>
      <c r="F9" s="284"/>
      <c r="G9" s="282"/>
      <c r="H9" s="283"/>
      <c r="I9" s="284"/>
      <c r="J9" s="282"/>
      <c r="K9" s="283"/>
    </row>
    <row r="10" spans="1:14" ht="12.75" customHeight="1" x14ac:dyDescent="0.25">
      <c r="A10" s="362"/>
      <c r="B10" s="115"/>
      <c r="C10" s="284"/>
      <c r="D10" s="282"/>
      <c r="E10" s="283"/>
      <c r="F10" s="284"/>
      <c r="G10" s="282"/>
      <c r="H10" s="283"/>
      <c r="I10" s="284"/>
      <c r="J10" s="282"/>
      <c r="K10" s="283"/>
    </row>
    <row r="11" spans="1:14" ht="12.75" customHeight="1" x14ac:dyDescent="0.25">
      <c r="A11" s="362"/>
      <c r="B11" s="115"/>
      <c r="C11" s="284"/>
      <c r="D11" s="282"/>
      <c r="E11" s="283"/>
      <c r="F11" s="284"/>
      <c r="G11" s="282"/>
      <c r="H11" s="283"/>
      <c r="I11" s="284"/>
      <c r="J11" s="282"/>
      <c r="K11" s="283"/>
    </row>
    <row r="12" spans="1:14" ht="12.75" customHeight="1" x14ac:dyDescent="0.25">
      <c r="A12" s="362"/>
      <c r="B12" s="115"/>
      <c r="C12" s="284"/>
      <c r="D12" s="282"/>
      <c r="E12" s="283"/>
      <c r="F12" s="284"/>
      <c r="G12" s="282"/>
      <c r="H12" s="283"/>
      <c r="I12" s="284"/>
      <c r="J12" s="282"/>
      <c r="K12" s="283"/>
    </row>
    <row r="13" spans="1:14" ht="12.75" customHeight="1" x14ac:dyDescent="0.25">
      <c r="A13" s="362"/>
      <c r="B13" s="115"/>
      <c r="C13" s="284"/>
      <c r="D13" s="282"/>
      <c r="E13" s="283"/>
      <c r="F13" s="284"/>
      <c r="G13" s="282"/>
      <c r="H13" s="283"/>
      <c r="I13" s="284"/>
      <c r="J13" s="282"/>
      <c r="K13" s="283"/>
      <c r="L13" s="594"/>
      <c r="M13" s="594"/>
      <c r="N13" s="594"/>
    </row>
    <row r="14" spans="1:14" ht="12.75" customHeight="1" x14ac:dyDescent="0.25">
      <c r="A14" s="362"/>
      <c r="B14" s="115"/>
      <c r="C14" s="284"/>
      <c r="D14" s="282"/>
      <c r="E14" s="283"/>
      <c r="F14" s="284"/>
      <c r="G14" s="282"/>
      <c r="H14" s="283"/>
      <c r="I14" s="284"/>
      <c r="J14" s="282"/>
      <c r="K14" s="283"/>
      <c r="L14" s="594"/>
      <c r="M14" s="594"/>
      <c r="N14" s="594"/>
    </row>
    <row r="15" spans="1:14" ht="12.75" customHeight="1" x14ac:dyDescent="0.25">
      <c r="A15" s="362"/>
      <c r="B15" s="115"/>
      <c r="C15" s="284"/>
      <c r="D15" s="282"/>
      <c r="E15" s="283"/>
      <c r="F15" s="284"/>
      <c r="G15" s="282"/>
      <c r="H15" s="283"/>
      <c r="I15" s="284"/>
      <c r="J15" s="282"/>
      <c r="K15" s="283"/>
      <c r="L15" s="594"/>
      <c r="M15" s="594"/>
      <c r="N15" s="594"/>
    </row>
    <row r="16" spans="1:14" x14ac:dyDescent="0.25">
      <c r="A16" s="388" t="s">
        <v>967</v>
      </c>
      <c r="B16" s="394">
        <v>2</v>
      </c>
      <c r="C16" s="389">
        <f>SUM(C6:C15)</f>
        <v>41089</v>
      </c>
      <c r="D16" s="389">
        <f t="shared" ref="D16:K16" si="0">SUM(D6:D15)</f>
        <v>61968</v>
      </c>
      <c r="E16" s="390">
        <f t="shared" si="0"/>
        <v>2000</v>
      </c>
      <c r="F16" s="391">
        <f t="shared" si="0"/>
        <v>2000</v>
      </c>
      <c r="G16" s="392">
        <f t="shared" si="0"/>
        <v>0</v>
      </c>
      <c r="H16" s="393">
        <f t="shared" si="0"/>
        <v>2000</v>
      </c>
      <c r="I16" s="596">
        <f t="shared" si="0"/>
        <v>234701.3</v>
      </c>
      <c r="J16" s="390">
        <f t="shared" si="0"/>
        <v>248783</v>
      </c>
      <c r="K16" s="407">
        <f t="shared" si="0"/>
        <v>2633709.98</v>
      </c>
      <c r="L16" s="594"/>
      <c r="M16" s="594"/>
      <c r="N16" s="594"/>
    </row>
    <row r="17" spans="1:23" ht="5.25" customHeight="1" x14ac:dyDescent="0.25">
      <c r="A17" s="388"/>
      <c r="B17" s="395"/>
      <c r="C17" s="396"/>
      <c r="D17" s="397"/>
      <c r="E17" s="398"/>
      <c r="F17" s="399"/>
      <c r="G17" s="400"/>
      <c r="H17" s="401"/>
      <c r="I17" s="552"/>
      <c r="J17" s="398"/>
      <c r="K17" s="408"/>
      <c r="L17" s="594"/>
      <c r="M17" s="594"/>
      <c r="N17" s="594"/>
    </row>
    <row r="18" spans="1:23" ht="12.75" customHeight="1" x14ac:dyDescent="0.25">
      <c r="A18" s="363" t="s">
        <v>271</v>
      </c>
      <c r="B18" s="115"/>
      <c r="C18" s="28"/>
      <c r="D18" s="27"/>
      <c r="E18" s="106"/>
      <c r="F18" s="28"/>
      <c r="G18" s="27"/>
      <c r="H18" s="106"/>
      <c r="I18" s="28"/>
      <c r="J18" s="27"/>
      <c r="K18" s="106"/>
      <c r="L18" s="594"/>
      <c r="M18" s="594"/>
      <c r="N18" s="594"/>
    </row>
    <row r="19" spans="1:23" ht="12.75" customHeight="1" x14ac:dyDescent="0.25">
      <c r="A19" s="585" t="s">
        <v>503</v>
      </c>
      <c r="B19" s="115"/>
      <c r="C19" s="284"/>
      <c r="D19" s="282"/>
      <c r="E19" s="283"/>
      <c r="F19" s="284"/>
      <c r="G19" s="282"/>
      <c r="H19" s="283"/>
      <c r="I19" s="284"/>
      <c r="J19" s="282"/>
      <c r="K19" s="283"/>
      <c r="L19" s="594"/>
      <c r="M19" s="594"/>
      <c r="N19" s="594"/>
    </row>
    <row r="20" spans="1:23" ht="12.75" customHeight="1" x14ac:dyDescent="0.25">
      <c r="A20" s="364"/>
      <c r="B20" s="115"/>
      <c r="C20" s="284"/>
      <c r="D20" s="282"/>
      <c r="E20" s="283"/>
      <c r="F20" s="284"/>
      <c r="G20" s="282"/>
      <c r="H20" s="283"/>
      <c r="I20" s="284"/>
      <c r="J20" s="282"/>
      <c r="K20" s="283"/>
      <c r="L20" s="594"/>
      <c r="M20" s="594"/>
      <c r="N20" s="594"/>
    </row>
    <row r="21" spans="1:23" ht="12.75" customHeight="1" x14ac:dyDescent="0.25">
      <c r="A21" s="362"/>
      <c r="B21" s="115"/>
      <c r="C21" s="284"/>
      <c r="D21" s="282"/>
      <c r="E21" s="283"/>
      <c r="F21" s="284"/>
      <c r="G21" s="282"/>
      <c r="H21" s="283"/>
      <c r="I21" s="284"/>
      <c r="J21" s="282"/>
      <c r="K21" s="283"/>
      <c r="L21" s="594"/>
      <c r="M21" s="594"/>
      <c r="N21" s="594"/>
    </row>
    <row r="22" spans="1:23" ht="12.75" customHeight="1" x14ac:dyDescent="0.25">
      <c r="A22" s="362"/>
      <c r="B22" s="115"/>
      <c r="C22" s="284"/>
      <c r="D22" s="282"/>
      <c r="E22" s="283"/>
      <c r="F22" s="284"/>
      <c r="G22" s="282"/>
      <c r="H22" s="283"/>
      <c r="I22" s="284"/>
      <c r="J22" s="282"/>
      <c r="K22" s="283"/>
      <c r="L22" s="594"/>
      <c r="M22" s="594"/>
      <c r="N22" s="594"/>
    </row>
    <row r="23" spans="1:23" ht="12.75" customHeight="1" x14ac:dyDescent="0.25">
      <c r="A23" s="362"/>
      <c r="B23" s="115"/>
      <c r="C23" s="284"/>
      <c r="D23" s="282"/>
      <c r="E23" s="283"/>
      <c r="F23" s="284"/>
      <c r="G23" s="282"/>
      <c r="H23" s="283"/>
      <c r="I23" s="284"/>
      <c r="J23" s="282"/>
      <c r="K23" s="283"/>
      <c r="L23" s="594"/>
      <c r="M23" s="594"/>
      <c r="N23" s="594"/>
    </row>
    <row r="24" spans="1:23" ht="12.75" customHeight="1" x14ac:dyDescent="0.25">
      <c r="A24" s="362"/>
      <c r="B24" s="115"/>
      <c r="C24" s="284"/>
      <c r="D24" s="282"/>
      <c r="E24" s="283"/>
      <c r="F24" s="284"/>
      <c r="G24" s="282"/>
      <c r="H24" s="283"/>
      <c r="I24" s="284"/>
      <c r="J24" s="282"/>
      <c r="K24" s="283"/>
      <c r="L24" s="594"/>
      <c r="M24" s="594"/>
      <c r="N24" s="594"/>
    </row>
    <row r="25" spans="1:23" ht="12.75" customHeight="1" x14ac:dyDescent="0.25">
      <c r="A25" s="362"/>
      <c r="B25" s="115"/>
      <c r="C25" s="284"/>
      <c r="D25" s="282"/>
      <c r="E25" s="283"/>
      <c r="F25" s="284"/>
      <c r="G25" s="282"/>
      <c r="H25" s="283"/>
      <c r="I25" s="284"/>
      <c r="J25" s="282"/>
      <c r="K25" s="283"/>
      <c r="L25" s="594"/>
      <c r="M25" s="594"/>
      <c r="N25" s="594"/>
    </row>
    <row r="26" spans="1:23" ht="12.75" customHeight="1" x14ac:dyDescent="0.25">
      <c r="A26" s="362"/>
      <c r="B26" s="115"/>
      <c r="C26" s="284"/>
      <c r="D26" s="282"/>
      <c r="E26" s="283"/>
      <c r="F26" s="284"/>
      <c r="G26" s="282"/>
      <c r="H26" s="283"/>
      <c r="I26" s="284"/>
      <c r="J26" s="282"/>
      <c r="K26" s="283"/>
      <c r="L26" s="594"/>
      <c r="M26" s="594"/>
      <c r="N26" s="594"/>
    </row>
    <row r="27" spans="1:23" ht="12.75" customHeight="1" x14ac:dyDescent="0.25">
      <c r="A27" s="362"/>
      <c r="B27" s="115"/>
      <c r="C27" s="284"/>
      <c r="D27" s="282"/>
      <c r="E27" s="283"/>
      <c r="F27" s="284"/>
      <c r="G27" s="282"/>
      <c r="H27" s="283"/>
      <c r="I27" s="284"/>
      <c r="J27" s="282"/>
      <c r="K27" s="283"/>
      <c r="L27" s="594"/>
      <c r="M27" s="594"/>
      <c r="N27" s="594"/>
    </row>
    <row r="28" spans="1:23" ht="12.75" customHeight="1" x14ac:dyDescent="0.25">
      <c r="A28" s="362"/>
      <c r="B28" s="115"/>
      <c r="C28" s="284"/>
      <c r="D28" s="282"/>
      <c r="E28" s="283"/>
      <c r="F28" s="284"/>
      <c r="G28" s="282"/>
      <c r="H28" s="283"/>
      <c r="I28" s="284"/>
      <c r="J28" s="282"/>
      <c r="K28" s="283"/>
      <c r="L28" s="594"/>
      <c r="M28" s="594"/>
      <c r="N28" s="594"/>
    </row>
    <row r="29" spans="1:23" ht="12.75" customHeight="1" x14ac:dyDescent="0.25">
      <c r="A29" s="362"/>
      <c r="B29" s="115"/>
      <c r="C29" s="284"/>
      <c r="D29" s="282"/>
      <c r="E29" s="283"/>
      <c r="F29" s="284"/>
      <c r="G29" s="282"/>
      <c r="H29" s="283"/>
      <c r="I29" s="284"/>
      <c r="J29" s="282"/>
      <c r="K29" s="283"/>
      <c r="L29" s="594"/>
      <c r="M29" s="594"/>
      <c r="N29" s="594"/>
    </row>
    <row r="30" spans="1:23" ht="11.25" customHeight="1" x14ac:dyDescent="0.25">
      <c r="A30" s="55" t="s">
        <v>587</v>
      </c>
      <c r="B30" s="406">
        <v>2</v>
      </c>
      <c r="C30" s="402">
        <f>SUM(C19:C29)</f>
        <v>0</v>
      </c>
      <c r="D30" s="402">
        <f t="shared" ref="D30:K30" si="1">SUM(D19:D29)</f>
        <v>0</v>
      </c>
      <c r="E30" s="403">
        <f t="shared" si="1"/>
        <v>0</v>
      </c>
      <c r="F30" s="404">
        <f t="shared" si="1"/>
        <v>0</v>
      </c>
      <c r="G30" s="389">
        <f t="shared" si="1"/>
        <v>0</v>
      </c>
      <c r="H30" s="403">
        <f t="shared" si="1"/>
        <v>0</v>
      </c>
      <c r="I30" s="597">
        <f t="shared" si="1"/>
        <v>0</v>
      </c>
      <c r="J30" s="405">
        <f t="shared" si="1"/>
        <v>0</v>
      </c>
      <c r="K30" s="409">
        <f t="shared" si="1"/>
        <v>0</v>
      </c>
      <c r="L30" s="594"/>
      <c r="M30" s="594"/>
      <c r="N30" s="594"/>
    </row>
    <row r="31" spans="1:23" ht="12.75" customHeight="1" x14ac:dyDescent="0.25">
      <c r="A31" s="32" t="s">
        <v>508</v>
      </c>
      <c r="B31" s="136">
        <v>4</v>
      </c>
      <c r="C31" s="34">
        <f>C16+C30</f>
        <v>41089</v>
      </c>
      <c r="D31" s="33">
        <f>D16+D30</f>
        <v>61968</v>
      </c>
      <c r="E31" s="135">
        <f>E16+E30</f>
        <v>2000</v>
      </c>
      <c r="F31" s="34">
        <f t="shared" ref="F31:K31" si="2">F16+F30</f>
        <v>2000</v>
      </c>
      <c r="G31" s="33">
        <f t="shared" si="2"/>
        <v>0</v>
      </c>
      <c r="H31" s="135">
        <f t="shared" si="2"/>
        <v>2000</v>
      </c>
      <c r="I31" s="228">
        <f t="shared" si="2"/>
        <v>234701.3</v>
      </c>
      <c r="J31" s="33">
        <f t="shared" si="2"/>
        <v>248783</v>
      </c>
      <c r="K31" s="135">
        <f t="shared" si="2"/>
        <v>2633709.98</v>
      </c>
      <c r="L31" s="594"/>
      <c r="M31" s="595"/>
      <c r="N31" s="595"/>
      <c r="O31" s="39"/>
      <c r="P31" s="39"/>
      <c r="Q31" s="39"/>
      <c r="R31" s="39"/>
      <c r="S31" s="39"/>
      <c r="T31" s="39"/>
      <c r="U31" s="39"/>
      <c r="V31" s="39"/>
      <c r="W31" s="39"/>
    </row>
    <row r="32" spans="1:23" ht="5.0999999999999996" customHeight="1" x14ac:dyDescent="0.25">
      <c r="A32" s="25"/>
      <c r="B32" s="115"/>
      <c r="C32" s="28"/>
      <c r="D32" s="27"/>
      <c r="E32" s="106"/>
      <c r="F32" s="28"/>
      <c r="G32" s="27"/>
      <c r="H32" s="106"/>
      <c r="I32" s="28"/>
      <c r="J32" s="27"/>
      <c r="K32" s="106"/>
      <c r="L32" s="594"/>
      <c r="M32" s="594"/>
      <c r="N32" s="594"/>
    </row>
    <row r="33" spans="1:23" ht="12.75" customHeight="1" x14ac:dyDescent="0.25">
      <c r="A33" s="22" t="s">
        <v>45</v>
      </c>
      <c r="B33" s="115"/>
      <c r="C33" s="28"/>
      <c r="D33" s="27"/>
      <c r="E33" s="106"/>
      <c r="F33" s="28"/>
      <c r="G33" s="27"/>
      <c r="H33" s="106"/>
      <c r="I33" s="28"/>
      <c r="J33" s="27"/>
      <c r="K33" s="106"/>
      <c r="L33" s="594"/>
      <c r="M33" s="594"/>
      <c r="N33" s="594"/>
    </row>
    <row r="34" spans="1:23" ht="12.75" customHeight="1" x14ac:dyDescent="0.25">
      <c r="A34" s="410" t="s">
        <v>27</v>
      </c>
      <c r="B34" s="115"/>
      <c r="C34" s="284"/>
      <c r="D34" s="282"/>
      <c r="E34" s="283"/>
      <c r="F34" s="284"/>
      <c r="G34" s="282"/>
      <c r="H34" s="283"/>
      <c r="I34" s="284"/>
      <c r="J34" s="282"/>
      <c r="K34" s="283"/>
    </row>
    <row r="35" spans="1:23" ht="12.75" customHeight="1" x14ac:dyDescent="0.25">
      <c r="A35" s="410" t="s">
        <v>161</v>
      </c>
      <c r="B35" s="115"/>
      <c r="C35" s="284"/>
      <c r="D35" s="282"/>
      <c r="E35" s="283"/>
      <c r="F35" s="284"/>
      <c r="G35" s="282"/>
      <c r="H35" s="283"/>
      <c r="I35" s="284"/>
      <c r="J35" s="282"/>
      <c r="K35" s="283"/>
    </row>
    <row r="36" spans="1:23" ht="12.75" customHeight="1" x14ac:dyDescent="0.25">
      <c r="A36" s="410" t="s">
        <v>334</v>
      </c>
      <c r="B36" s="115"/>
      <c r="C36" s="284"/>
      <c r="D36" s="282"/>
      <c r="E36" s="283"/>
      <c r="F36" s="284"/>
      <c r="G36" s="282"/>
      <c r="H36" s="283"/>
      <c r="I36" s="284"/>
      <c r="J36" s="282"/>
      <c r="K36" s="283"/>
    </row>
    <row r="37" spans="1:23" ht="12.75" customHeight="1" x14ac:dyDescent="0.25">
      <c r="A37" s="410" t="s">
        <v>162</v>
      </c>
      <c r="B37" s="115"/>
      <c r="C37" s="284">
        <v>41</v>
      </c>
      <c r="D37" s="282"/>
      <c r="E37" s="283"/>
      <c r="F37" s="284"/>
      <c r="G37" s="282"/>
      <c r="H37" s="283"/>
      <c r="I37" s="284"/>
      <c r="J37" s="282"/>
      <c r="K37" s="283"/>
    </row>
    <row r="38" spans="1:23" ht="12.75" customHeight="1" x14ac:dyDescent="0.25">
      <c r="A38" s="361" t="s">
        <v>470</v>
      </c>
      <c r="B38" s="411"/>
      <c r="C38" s="225">
        <f>SUM(C34:C37)</f>
        <v>41</v>
      </c>
      <c r="D38" s="226">
        <f t="shared" ref="D38:K38" si="3">SUM(D34:D37)</f>
        <v>0</v>
      </c>
      <c r="E38" s="227">
        <f t="shared" si="3"/>
        <v>0</v>
      </c>
      <c r="F38" s="225">
        <f t="shared" si="3"/>
        <v>0</v>
      </c>
      <c r="G38" s="226">
        <f t="shared" si="3"/>
        <v>0</v>
      </c>
      <c r="H38" s="227">
        <f t="shared" si="3"/>
        <v>0</v>
      </c>
      <c r="I38" s="225">
        <f t="shared" si="3"/>
        <v>0</v>
      </c>
      <c r="J38" s="226">
        <f t="shared" si="3"/>
        <v>0</v>
      </c>
      <c r="K38" s="227">
        <f t="shared" si="3"/>
        <v>0</v>
      </c>
      <c r="L38" s="39"/>
      <c r="M38" s="39"/>
      <c r="N38" s="39"/>
      <c r="O38" s="39"/>
      <c r="P38" s="39"/>
      <c r="Q38" s="39"/>
      <c r="R38" s="39"/>
      <c r="S38" s="39"/>
      <c r="T38" s="39"/>
      <c r="U38" s="39"/>
      <c r="V38" s="39"/>
      <c r="W38" s="39"/>
    </row>
    <row r="39" spans="1:23" ht="12.75" customHeight="1" x14ac:dyDescent="0.25">
      <c r="A39" s="412" t="s">
        <v>49</v>
      </c>
      <c r="B39" s="115">
        <v>6</v>
      </c>
      <c r="C39" s="284"/>
      <c r="D39" s="282"/>
      <c r="E39" s="283"/>
      <c r="F39" s="284"/>
      <c r="G39" s="282"/>
      <c r="H39" s="283"/>
      <c r="I39" s="284"/>
      <c r="J39" s="282"/>
      <c r="K39" s="283"/>
    </row>
    <row r="40" spans="1:23" ht="12.75" customHeight="1" x14ac:dyDescent="0.25">
      <c r="A40" s="412" t="s">
        <v>322</v>
      </c>
      <c r="B40" s="115">
        <v>3</v>
      </c>
      <c r="C40" s="284"/>
      <c r="D40" s="282"/>
      <c r="E40" s="283"/>
      <c r="F40" s="284"/>
      <c r="G40" s="282"/>
      <c r="H40" s="283"/>
      <c r="I40" s="284"/>
      <c r="J40" s="282"/>
      <c r="K40" s="283"/>
    </row>
    <row r="41" spans="1:23" ht="12.75" customHeight="1" x14ac:dyDescent="0.25">
      <c r="A41" s="412" t="s">
        <v>46</v>
      </c>
      <c r="B41" s="115"/>
      <c r="C41" s="284">
        <v>41048</v>
      </c>
      <c r="D41" s="282">
        <v>51914</v>
      </c>
      <c r="E41" s="283">
        <v>133284</v>
      </c>
      <c r="F41" s="284">
        <v>0</v>
      </c>
      <c r="G41" s="282">
        <v>0</v>
      </c>
      <c r="H41" s="283">
        <v>0</v>
      </c>
      <c r="I41" s="284">
        <v>25000</v>
      </c>
      <c r="J41" s="282">
        <v>27500</v>
      </c>
      <c r="K41" s="283">
        <v>25450.75</v>
      </c>
    </row>
    <row r="42" spans="1:23" ht="12.75" customHeight="1" x14ac:dyDescent="0.25">
      <c r="A42" s="32" t="s">
        <v>410</v>
      </c>
      <c r="B42" s="136">
        <v>4</v>
      </c>
      <c r="C42" s="34">
        <f t="shared" ref="C42:K42" si="4">SUM(C38:C41)</f>
        <v>41089</v>
      </c>
      <c r="D42" s="33">
        <f t="shared" si="4"/>
        <v>51914</v>
      </c>
      <c r="E42" s="135">
        <f t="shared" si="4"/>
        <v>133284</v>
      </c>
      <c r="F42" s="34">
        <f t="shared" si="4"/>
        <v>0</v>
      </c>
      <c r="G42" s="33">
        <f t="shared" si="4"/>
        <v>0</v>
      </c>
      <c r="H42" s="135">
        <f t="shared" si="4"/>
        <v>0</v>
      </c>
      <c r="I42" s="34">
        <f t="shared" si="4"/>
        <v>25000</v>
      </c>
      <c r="J42" s="33">
        <f t="shared" si="4"/>
        <v>27500</v>
      </c>
      <c r="K42" s="135">
        <f t="shared" si="4"/>
        <v>25450.75</v>
      </c>
    </row>
    <row r="43" spans="1:23" ht="12.75" customHeight="1" x14ac:dyDescent="0.25">
      <c r="A43" s="35" t="s">
        <v>204</v>
      </c>
      <c r="B43" s="36"/>
      <c r="C43" s="39"/>
      <c r="D43" s="39"/>
      <c r="E43" s="39"/>
      <c r="F43" s="39"/>
      <c r="G43" s="39"/>
      <c r="H43" s="39"/>
      <c r="I43" s="39"/>
      <c r="J43" s="39"/>
      <c r="K43" s="39"/>
    </row>
    <row r="44" spans="1:23" ht="12.75" customHeight="1" x14ac:dyDescent="0.25">
      <c r="A44" s="541" t="s">
        <v>658</v>
      </c>
      <c r="B44" s="36"/>
      <c r="C44" s="38"/>
      <c r="D44" s="38"/>
      <c r="E44" s="39"/>
      <c r="F44" s="39"/>
      <c r="G44" s="39"/>
      <c r="H44" s="39"/>
      <c r="I44" s="39"/>
      <c r="J44" s="39"/>
      <c r="K44" s="39"/>
    </row>
    <row r="45" spans="1:23" ht="12.75" customHeight="1" x14ac:dyDescent="0.25">
      <c r="A45" s="620" t="s">
        <v>659</v>
      </c>
      <c r="B45" s="620"/>
      <c r="C45" s="620"/>
      <c r="D45" s="620"/>
      <c r="E45" s="620"/>
      <c r="F45" s="620"/>
      <c r="G45" s="620"/>
      <c r="H45" s="620"/>
      <c r="I45" s="620"/>
      <c r="J45" s="620"/>
      <c r="K45" s="620"/>
      <c r="L45" s="620"/>
    </row>
    <row r="46" spans="1:23" ht="12.75" customHeight="1" x14ac:dyDescent="0.25">
      <c r="A46" s="541" t="s">
        <v>660</v>
      </c>
      <c r="B46" s="121"/>
      <c r="C46" s="121"/>
      <c r="D46" s="121"/>
      <c r="E46" s="121"/>
      <c r="F46" s="121"/>
      <c r="G46" s="121"/>
      <c r="H46" s="121"/>
      <c r="I46" s="121"/>
      <c r="J46" s="121"/>
      <c r="K46" s="121"/>
    </row>
    <row r="47" spans="1:23" ht="12.75" customHeight="1" x14ac:dyDescent="0.25">
      <c r="A47" s="541" t="s">
        <v>661</v>
      </c>
      <c r="B47" s="121"/>
      <c r="C47" s="121"/>
      <c r="D47" s="121"/>
      <c r="E47" s="121"/>
      <c r="F47" s="121"/>
      <c r="G47" s="121"/>
      <c r="H47" s="121"/>
      <c r="I47" s="121"/>
      <c r="J47" s="121"/>
      <c r="K47" s="121"/>
    </row>
    <row r="48" spans="1:23" ht="12.75" customHeight="1" x14ac:dyDescent="0.25">
      <c r="A48" s="47" t="s">
        <v>244</v>
      </c>
      <c r="B48" s="36"/>
      <c r="C48" s="38"/>
      <c r="D48" s="38"/>
      <c r="E48" s="39"/>
      <c r="F48" s="39"/>
      <c r="G48" s="39"/>
      <c r="H48" s="39"/>
      <c r="I48" s="39"/>
      <c r="J48" s="39"/>
      <c r="K48" s="39"/>
    </row>
    <row r="49" spans="1:11" ht="12.75" customHeight="1" x14ac:dyDescent="0.25">
      <c r="B49" s="36"/>
      <c r="C49" s="38"/>
      <c r="D49" s="38"/>
      <c r="E49" s="39"/>
      <c r="F49" s="39"/>
      <c r="G49" s="39"/>
      <c r="H49" s="39"/>
      <c r="I49" s="39"/>
      <c r="J49" s="39"/>
      <c r="K49" s="39"/>
    </row>
    <row r="50" spans="1:11" ht="12.75" customHeight="1" x14ac:dyDescent="0.25">
      <c r="A50" s="47"/>
      <c r="B50" s="36"/>
      <c r="C50" s="38"/>
      <c r="D50" s="38"/>
      <c r="E50" s="39"/>
      <c r="F50" s="39"/>
      <c r="G50" s="39"/>
      <c r="H50" s="39"/>
      <c r="I50" s="39"/>
      <c r="J50" s="39"/>
      <c r="K50" s="39"/>
    </row>
    <row r="51" spans="1:11" ht="11.25" customHeight="1" x14ac:dyDescent="0.25">
      <c r="A51" s="41" t="s">
        <v>155</v>
      </c>
      <c r="B51" s="40"/>
      <c r="C51" s="50">
        <f>C31-C42</f>
        <v>0</v>
      </c>
      <c r="D51" s="50">
        <f t="shared" ref="D51:K51" si="5">D31-D42</f>
        <v>10054</v>
      </c>
      <c r="E51" s="50">
        <f t="shared" si="5"/>
        <v>-131284</v>
      </c>
      <c r="F51" s="50">
        <f t="shared" si="5"/>
        <v>2000</v>
      </c>
      <c r="G51" s="50">
        <f t="shared" si="5"/>
        <v>0</v>
      </c>
      <c r="H51" s="50">
        <f t="shared" si="5"/>
        <v>2000</v>
      </c>
      <c r="I51" s="50">
        <f t="shared" si="5"/>
        <v>209701.3</v>
      </c>
      <c r="J51" s="50">
        <f t="shared" si="5"/>
        <v>221283</v>
      </c>
      <c r="K51" s="50">
        <f t="shared" si="5"/>
        <v>2608259.23</v>
      </c>
    </row>
    <row r="52" spans="1:11" ht="11.25" customHeight="1" x14ac:dyDescent="0.25">
      <c r="A52" s="42"/>
    </row>
    <row r="53" spans="1:11" ht="11.25" customHeight="1" x14ac:dyDescent="0.25"/>
    <row r="54" spans="1:11" ht="11.25" customHeight="1" x14ac:dyDescent="0.25"/>
    <row r="55" spans="1:11" ht="11.25" customHeight="1" x14ac:dyDescent="0.25"/>
    <row r="56" spans="1:11" ht="11.25" customHeight="1" x14ac:dyDescent="0.25"/>
    <row r="57" spans="1:11" ht="11.25" customHeight="1" x14ac:dyDescent="0.25"/>
    <row r="58" spans="1:11" ht="11.25" customHeight="1" x14ac:dyDescent="0.25"/>
    <row r="59" spans="1:11" ht="11.25" customHeight="1" x14ac:dyDescent="0.25"/>
    <row r="60" spans="1:11" ht="11.25" customHeight="1" x14ac:dyDescent="0.25"/>
    <row r="61" spans="1:11" ht="11.25" customHeight="1" x14ac:dyDescent="0.25"/>
    <row r="62" spans="1:11" ht="11.25" customHeight="1" x14ac:dyDescent="0.25"/>
    <row r="63" spans="1:11" ht="11.25" customHeight="1" x14ac:dyDescent="0.25"/>
    <row r="64" spans="1:11"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sheetData>
  <sheetProtection password="A35B" sheet="1" objects="1" scenarios="1"/>
  <mergeCells count="13">
    <mergeCell ref="A45:L45"/>
    <mergeCell ref="A2:A3"/>
    <mergeCell ref="B2:B3"/>
    <mergeCell ref="C3:C4"/>
    <mergeCell ref="D3:D4"/>
    <mergeCell ref="F2:H2"/>
    <mergeCell ref="I3:I4"/>
    <mergeCell ref="J3:J4"/>
    <mergeCell ref="E3:E4"/>
    <mergeCell ref="F3:F4"/>
    <mergeCell ref="G3:G4"/>
    <mergeCell ref="K3:K4"/>
    <mergeCell ref="H3:H4"/>
  </mergeCells>
  <phoneticPr fontId="2" type="noConversion"/>
  <printOptions horizontalCentered="1"/>
  <pageMargins left="0.35433070866141736" right="0.15748031496062992" top="0.78740157480314965" bottom="0.59055118110236227" header="0.51181102362204722" footer="0.39370078740157483"/>
  <pageSetup paperSize="9" scale="7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8">
    <tabColor indexed="44"/>
    <pageSetUpPr fitToPage="1"/>
  </sheetPr>
  <dimension ref="A1:W86"/>
  <sheetViews>
    <sheetView showGridLines="0" workbookViewId="0">
      <pane xSplit="2" ySplit="3" topLeftCell="C4" activePane="bottomRight" state="frozen"/>
      <selection activeCell="G21" sqref="G21"/>
      <selection pane="topRight" activeCell="G21" sqref="G21"/>
      <selection pane="bottomLeft" activeCell="G21" sqref="G21"/>
      <selection pane="bottomRight" activeCell="C9" sqref="C9"/>
    </sheetView>
  </sheetViews>
  <sheetFormatPr defaultRowHeight="12.75" x14ac:dyDescent="0.25"/>
  <cols>
    <col min="1" max="1" width="30.7109375" style="20" customWidth="1"/>
    <col min="2" max="2" width="3.140625" style="43" customWidth="1"/>
    <col min="3" max="11" width="8.7109375" style="20" customWidth="1"/>
    <col min="12" max="12" width="10.42578125" style="20" bestFit="1" customWidth="1"/>
    <col min="13" max="13" width="9.5703125" style="20" customWidth="1"/>
    <col min="14" max="14" width="9.85546875" style="20" customWidth="1"/>
    <col min="15" max="17" width="9.5703125" style="20" customWidth="1"/>
    <col min="18" max="18" width="9.85546875" style="20" customWidth="1"/>
    <col min="19" max="21" width="9.5703125" style="20" customWidth="1"/>
    <col min="22" max="23" width="9.85546875" style="20" customWidth="1"/>
    <col min="24" max="16384" width="9.140625" style="20"/>
  </cols>
  <sheetData>
    <row r="1" spans="1:23" ht="13.5" x14ac:dyDescent="0.25">
      <c r="A1" s="113" t="str">
        <f>_MEB3</f>
        <v>Greater Tzaneen Economic Development Agency (GTEDA) - Table D4 Budgeted Financial Position</v>
      </c>
    </row>
    <row r="2" spans="1:23" s="542" customFormat="1" ht="27" customHeight="1" x14ac:dyDescent="0.25">
      <c r="A2" s="524" t="str">
        <f>desc</f>
        <v>Description</v>
      </c>
      <c r="B2" s="532" t="str">
        <f>head27</f>
        <v>Ref</v>
      </c>
      <c r="C2" s="109" t="str">
        <f>head1b</f>
        <v>2012/13</v>
      </c>
      <c r="D2" s="21" t="str">
        <f>head1A</f>
        <v>2013/14</v>
      </c>
      <c r="E2" s="103" t="str">
        <f>Head1</f>
        <v>2014/15</v>
      </c>
      <c r="F2" s="629" t="str">
        <f>Head2</f>
        <v>Current Year 2015/16</v>
      </c>
      <c r="G2" s="638"/>
      <c r="H2" s="639"/>
      <c r="I2" s="133" t="str">
        <f>Head3a</f>
        <v>Medium Term Revenue and Expenditure Framework</v>
      </c>
      <c r="J2" s="131"/>
      <c r="K2" s="132"/>
    </row>
    <row r="3" spans="1:23" s="542" customFormat="1" ht="27" customHeight="1" x14ac:dyDescent="0.25">
      <c r="A3" s="536" t="s">
        <v>225</v>
      </c>
      <c r="B3" s="533"/>
      <c r="C3" s="128" t="str">
        <f>Head5</f>
        <v>Audited Outcome</v>
      </c>
      <c r="D3" s="102" t="str">
        <f>Head5</f>
        <v>Audited Outcome</v>
      </c>
      <c r="E3" s="523" t="str">
        <f>Head5</f>
        <v>Audited Outcome</v>
      </c>
      <c r="F3" s="522" t="str">
        <f>Head6</f>
        <v>Original Budget</v>
      </c>
      <c r="G3" s="129" t="str">
        <f>Head7</f>
        <v>Adjusted Budget</v>
      </c>
      <c r="H3" s="523" t="str">
        <f>Head8</f>
        <v>Full Year Forecast</v>
      </c>
      <c r="I3" s="522" t="str">
        <f>Head9</f>
        <v>Budget Year 2016/17</v>
      </c>
      <c r="J3" s="129" t="str">
        <f>Head10</f>
        <v>Budget Year +1 2017/18</v>
      </c>
      <c r="K3" s="523" t="str">
        <f>Head11</f>
        <v>Budget Year +2 2018/19</v>
      </c>
    </row>
    <row r="4" spans="1:23" ht="12.75" customHeight="1" x14ac:dyDescent="0.25">
      <c r="A4" s="55" t="s">
        <v>107</v>
      </c>
      <c r="B4" s="115"/>
      <c r="C4" s="28"/>
      <c r="D4" s="27"/>
      <c r="E4" s="106"/>
      <c r="F4" s="28"/>
      <c r="G4" s="27"/>
      <c r="H4" s="106"/>
      <c r="I4" s="28"/>
      <c r="J4" s="27"/>
      <c r="K4" s="106"/>
    </row>
    <row r="5" spans="1:23" ht="12.75" customHeight="1" x14ac:dyDescent="0.25">
      <c r="A5" s="55" t="s">
        <v>108</v>
      </c>
      <c r="B5" s="115"/>
      <c r="C5" s="28"/>
      <c r="D5" s="27"/>
      <c r="E5" s="106"/>
      <c r="F5" s="28"/>
      <c r="G5" s="27"/>
      <c r="H5" s="106"/>
      <c r="I5" s="28"/>
      <c r="J5" s="27"/>
      <c r="K5" s="106"/>
    </row>
    <row r="6" spans="1:23" ht="12.75" customHeight="1" x14ac:dyDescent="0.25">
      <c r="A6" s="24" t="s">
        <v>328</v>
      </c>
      <c r="B6" s="115"/>
      <c r="C6" s="284">
        <f>883+387505</f>
        <v>388388</v>
      </c>
      <c r="D6" s="282">
        <f>265+877118</f>
        <v>877383</v>
      </c>
      <c r="E6" s="283">
        <f>3609+432205</f>
        <v>435814</v>
      </c>
      <c r="F6" s="284"/>
      <c r="G6" s="282"/>
      <c r="H6" s="283">
        <f>4654+450114</f>
        <v>454768</v>
      </c>
      <c r="I6" s="284"/>
      <c r="J6" s="282"/>
      <c r="K6" s="283"/>
    </row>
    <row r="7" spans="1:23" ht="12.75" customHeight="1" x14ac:dyDescent="0.25">
      <c r="A7" s="24" t="s">
        <v>154</v>
      </c>
      <c r="B7" s="115"/>
      <c r="C7" s="284">
        <v>1059947</v>
      </c>
      <c r="D7" s="282">
        <v>1461048</v>
      </c>
      <c r="E7" s="283">
        <v>1587730</v>
      </c>
      <c r="F7" s="284"/>
      <c r="G7" s="282"/>
      <c r="H7" s="283">
        <v>478038</v>
      </c>
      <c r="I7" s="284"/>
      <c r="J7" s="282"/>
      <c r="K7" s="283"/>
    </row>
    <row r="8" spans="1:23" ht="12.75" customHeight="1" x14ac:dyDescent="0.25">
      <c r="A8" s="24" t="s">
        <v>152</v>
      </c>
      <c r="B8" s="115"/>
      <c r="C8" s="284"/>
      <c r="D8" s="282"/>
      <c r="E8" s="283"/>
      <c r="F8" s="284"/>
      <c r="G8" s="282"/>
      <c r="H8" s="283"/>
      <c r="I8" s="284"/>
      <c r="J8" s="282"/>
      <c r="K8" s="283"/>
    </row>
    <row r="9" spans="1:23" ht="12.75" customHeight="1" x14ac:dyDescent="0.25">
      <c r="A9" s="24" t="s">
        <v>153</v>
      </c>
      <c r="B9" s="115"/>
      <c r="C9" s="284">
        <v>242967</v>
      </c>
      <c r="D9" s="282">
        <v>376671</v>
      </c>
      <c r="E9" s="283">
        <v>248939</v>
      </c>
      <c r="F9" s="284"/>
      <c r="G9" s="282"/>
      <c r="H9" s="283">
        <v>65556</v>
      </c>
      <c r="I9" s="284"/>
      <c r="J9" s="282"/>
      <c r="K9" s="283"/>
    </row>
    <row r="10" spans="1:23" ht="12.75" customHeight="1" x14ac:dyDescent="0.25">
      <c r="A10" s="24" t="s">
        <v>329</v>
      </c>
      <c r="B10" s="115"/>
      <c r="C10" s="284"/>
      <c r="D10" s="282"/>
      <c r="E10" s="283"/>
      <c r="F10" s="284"/>
      <c r="G10" s="282"/>
      <c r="H10" s="283"/>
      <c r="I10" s="284"/>
      <c r="J10" s="282"/>
      <c r="K10" s="283"/>
    </row>
    <row r="11" spans="1:23" ht="12.75" customHeight="1" x14ac:dyDescent="0.25">
      <c r="A11" s="24" t="s">
        <v>151</v>
      </c>
      <c r="B11" s="115"/>
      <c r="C11" s="284"/>
      <c r="D11" s="282"/>
      <c r="E11" s="283"/>
      <c r="F11" s="284"/>
      <c r="G11" s="282"/>
      <c r="H11" s="283"/>
      <c r="I11" s="284"/>
      <c r="J11" s="282"/>
      <c r="K11" s="283"/>
    </row>
    <row r="12" spans="1:23" ht="12.75" customHeight="1" x14ac:dyDescent="0.25">
      <c r="A12" s="59" t="s">
        <v>187</v>
      </c>
      <c r="B12" s="134"/>
      <c r="C12" s="45">
        <f>SUM(C6:C11)</f>
        <v>1691302</v>
      </c>
      <c r="D12" s="44">
        <f>SUM(D6:D11)</f>
        <v>2715102</v>
      </c>
      <c r="E12" s="107">
        <f>SUM(E6:E11)</f>
        <v>2272483</v>
      </c>
      <c r="F12" s="45">
        <f t="shared" ref="F12:K12" si="0">SUM(F6:F11)</f>
        <v>0</v>
      </c>
      <c r="G12" s="44">
        <f t="shared" si="0"/>
        <v>0</v>
      </c>
      <c r="H12" s="107">
        <f t="shared" si="0"/>
        <v>998362</v>
      </c>
      <c r="I12" s="45">
        <f t="shared" si="0"/>
        <v>0</v>
      </c>
      <c r="J12" s="44">
        <f t="shared" si="0"/>
        <v>0</v>
      </c>
      <c r="K12" s="107">
        <f t="shared" si="0"/>
        <v>0</v>
      </c>
      <c r="L12" s="39"/>
      <c r="M12" s="39"/>
      <c r="N12" s="39"/>
      <c r="O12" s="39"/>
      <c r="P12" s="39"/>
      <c r="Q12" s="39"/>
      <c r="R12" s="39"/>
      <c r="S12" s="39"/>
      <c r="T12" s="39"/>
      <c r="U12" s="39"/>
      <c r="V12" s="39"/>
      <c r="W12" s="39"/>
    </row>
    <row r="13" spans="1:23" ht="5.0999999999999996" customHeight="1" x14ac:dyDescent="0.25">
      <c r="A13" s="25"/>
      <c r="B13" s="115"/>
      <c r="C13" s="28"/>
      <c r="D13" s="27"/>
      <c r="E13" s="106"/>
      <c r="F13" s="28"/>
      <c r="G13" s="27"/>
      <c r="H13" s="106"/>
      <c r="I13" s="28"/>
      <c r="J13" s="27"/>
      <c r="K13" s="106"/>
    </row>
    <row r="14" spans="1:23" ht="12.75" customHeight="1" x14ac:dyDescent="0.25">
      <c r="A14" s="55" t="s">
        <v>31</v>
      </c>
      <c r="B14" s="115"/>
      <c r="C14" s="28"/>
      <c r="D14" s="27"/>
      <c r="E14" s="106"/>
      <c r="F14" s="28"/>
      <c r="G14" s="27"/>
      <c r="H14" s="106"/>
      <c r="I14" s="28"/>
      <c r="J14" s="27"/>
      <c r="K14" s="106"/>
    </row>
    <row r="15" spans="1:23" ht="12.75" customHeight="1" x14ac:dyDescent="0.25">
      <c r="A15" s="24" t="s">
        <v>150</v>
      </c>
      <c r="B15" s="115">
        <v>3</v>
      </c>
      <c r="C15" s="284"/>
      <c r="D15" s="282"/>
      <c r="E15" s="283"/>
      <c r="F15" s="284"/>
      <c r="G15" s="282"/>
      <c r="H15" s="283"/>
      <c r="I15" s="284"/>
      <c r="J15" s="282"/>
      <c r="K15" s="283"/>
    </row>
    <row r="16" spans="1:23" ht="12.75" customHeight="1" x14ac:dyDescent="0.25">
      <c r="A16" s="24" t="s">
        <v>109</v>
      </c>
      <c r="B16" s="115"/>
      <c r="C16" s="284"/>
      <c r="D16" s="282"/>
      <c r="E16" s="283"/>
      <c r="F16" s="284"/>
      <c r="G16" s="282"/>
      <c r="H16" s="283"/>
      <c r="I16" s="284"/>
      <c r="J16" s="282"/>
      <c r="K16" s="283"/>
    </row>
    <row r="17" spans="1:23" ht="12.75" customHeight="1" x14ac:dyDescent="0.25">
      <c r="A17" s="24" t="s">
        <v>149</v>
      </c>
      <c r="B17" s="115"/>
      <c r="C17" s="284"/>
      <c r="D17" s="282"/>
      <c r="E17" s="283"/>
      <c r="F17" s="284"/>
      <c r="G17" s="282"/>
      <c r="H17" s="283"/>
      <c r="I17" s="284"/>
      <c r="J17" s="282"/>
      <c r="K17" s="283"/>
    </row>
    <row r="18" spans="1:23" ht="12.75" customHeight="1" x14ac:dyDescent="0.25">
      <c r="A18" s="24" t="s">
        <v>148</v>
      </c>
      <c r="B18" s="115">
        <v>1</v>
      </c>
      <c r="C18" s="284">
        <v>55331</v>
      </c>
      <c r="D18" s="282">
        <v>90875</v>
      </c>
      <c r="E18" s="283">
        <v>184010</v>
      </c>
      <c r="F18" s="284"/>
      <c r="G18" s="282"/>
      <c r="H18" s="283">
        <v>210192</v>
      </c>
      <c r="I18" s="284">
        <f>H18+SD7a!I57</f>
        <v>235192</v>
      </c>
      <c r="J18" s="282">
        <f>I18+SD7a!J57</f>
        <v>262692</v>
      </c>
      <c r="K18" s="283">
        <f>J18+SD7a!K57</f>
        <v>288142.75</v>
      </c>
    </row>
    <row r="19" spans="1:23" ht="12.75" customHeight="1" x14ac:dyDescent="0.25">
      <c r="A19" s="24" t="s">
        <v>649</v>
      </c>
      <c r="B19" s="115"/>
      <c r="C19" s="284"/>
      <c r="D19" s="282"/>
      <c r="E19" s="283"/>
      <c r="F19" s="284"/>
      <c r="G19" s="282"/>
      <c r="H19" s="283"/>
      <c r="I19" s="284"/>
      <c r="J19" s="282"/>
      <c r="K19" s="283"/>
    </row>
    <row r="20" spans="1:23" ht="12.75" customHeight="1" x14ac:dyDescent="0.25">
      <c r="A20" s="24" t="s">
        <v>40</v>
      </c>
      <c r="B20" s="115"/>
      <c r="C20" s="284"/>
      <c r="D20" s="282"/>
      <c r="E20" s="283"/>
      <c r="F20" s="284"/>
      <c r="G20" s="282"/>
      <c r="H20" s="283"/>
      <c r="I20" s="284"/>
      <c r="J20" s="282"/>
      <c r="K20" s="283"/>
    </row>
    <row r="21" spans="1:23" ht="12.75" customHeight="1" x14ac:dyDescent="0.25">
      <c r="A21" s="24" t="s">
        <v>41</v>
      </c>
      <c r="B21" s="115"/>
      <c r="C21" s="284"/>
      <c r="D21" s="282"/>
      <c r="E21" s="283"/>
      <c r="F21" s="284"/>
      <c r="G21" s="282"/>
      <c r="H21" s="283"/>
      <c r="I21" s="284"/>
      <c r="J21" s="282"/>
      <c r="K21" s="283"/>
    </row>
    <row r="22" spans="1:23" ht="12.75" customHeight="1" x14ac:dyDescent="0.25">
      <c r="A22" s="59" t="s">
        <v>186</v>
      </c>
      <c r="B22" s="134"/>
      <c r="C22" s="45">
        <f>SUM(C15:C21)</f>
        <v>55331</v>
      </c>
      <c r="D22" s="44">
        <f t="shared" ref="D22:K22" si="1">SUM(D15:D21)</f>
        <v>90875</v>
      </c>
      <c r="E22" s="107">
        <f t="shared" si="1"/>
        <v>184010</v>
      </c>
      <c r="F22" s="45">
        <f t="shared" si="1"/>
        <v>0</v>
      </c>
      <c r="G22" s="44">
        <f t="shared" si="1"/>
        <v>0</v>
      </c>
      <c r="H22" s="107">
        <f t="shared" si="1"/>
        <v>210192</v>
      </c>
      <c r="I22" s="45">
        <f t="shared" si="1"/>
        <v>235192</v>
      </c>
      <c r="J22" s="44">
        <f t="shared" si="1"/>
        <v>262692</v>
      </c>
      <c r="K22" s="107">
        <f t="shared" si="1"/>
        <v>288142.75</v>
      </c>
      <c r="L22" s="39"/>
      <c r="M22" s="39"/>
      <c r="N22" s="39"/>
      <c r="O22" s="39"/>
      <c r="P22" s="39"/>
      <c r="Q22" s="39"/>
      <c r="R22" s="39"/>
      <c r="S22" s="39"/>
      <c r="T22" s="39"/>
      <c r="U22" s="39"/>
      <c r="V22" s="39"/>
      <c r="W22" s="39"/>
    </row>
    <row r="23" spans="1:23" ht="12.75" customHeight="1" x14ac:dyDescent="0.25">
      <c r="A23" s="59" t="s">
        <v>320</v>
      </c>
      <c r="B23" s="134"/>
      <c r="C23" s="45">
        <f>C12+C22</f>
        <v>1746633</v>
      </c>
      <c r="D23" s="44">
        <f>D12+D22</f>
        <v>2805977</v>
      </c>
      <c r="E23" s="107">
        <f>E12+E22</f>
        <v>2456493</v>
      </c>
      <c r="F23" s="45">
        <f t="shared" ref="F23:K23" si="2">F12+F22</f>
        <v>0</v>
      </c>
      <c r="G23" s="44">
        <f t="shared" si="2"/>
        <v>0</v>
      </c>
      <c r="H23" s="107">
        <f t="shared" si="2"/>
        <v>1208554</v>
      </c>
      <c r="I23" s="45">
        <f t="shared" si="2"/>
        <v>235192</v>
      </c>
      <c r="J23" s="44">
        <f t="shared" si="2"/>
        <v>262692</v>
      </c>
      <c r="K23" s="107">
        <f t="shared" si="2"/>
        <v>288142.75</v>
      </c>
      <c r="L23" s="39"/>
      <c r="M23" s="39"/>
      <c r="N23" s="39"/>
      <c r="O23" s="39"/>
      <c r="P23" s="39"/>
      <c r="Q23" s="39"/>
      <c r="R23" s="39"/>
      <c r="S23" s="39"/>
      <c r="T23" s="39"/>
      <c r="U23" s="39"/>
      <c r="V23" s="39"/>
      <c r="W23" s="39"/>
    </row>
    <row r="24" spans="1:23" ht="5.0999999999999996" customHeight="1" x14ac:dyDescent="0.25">
      <c r="A24" s="25"/>
      <c r="B24" s="115"/>
      <c r="C24" s="28"/>
      <c r="D24" s="27"/>
      <c r="E24" s="106"/>
      <c r="F24" s="28"/>
      <c r="G24" s="27"/>
      <c r="H24" s="106"/>
      <c r="I24" s="28"/>
      <c r="J24" s="27"/>
      <c r="K24" s="106"/>
    </row>
    <row r="25" spans="1:23" ht="12.75" customHeight="1" x14ac:dyDescent="0.25">
      <c r="A25" s="55" t="s">
        <v>32</v>
      </c>
      <c r="B25" s="115"/>
      <c r="C25" s="28"/>
      <c r="D25" s="27"/>
      <c r="E25" s="106"/>
      <c r="F25" s="28"/>
      <c r="G25" s="27"/>
      <c r="H25" s="106"/>
      <c r="I25" s="28"/>
      <c r="J25" s="27"/>
      <c r="K25" s="106"/>
    </row>
    <row r="26" spans="1:23" ht="12.75" customHeight="1" x14ac:dyDescent="0.25">
      <c r="A26" s="55" t="s">
        <v>110</v>
      </c>
      <c r="B26" s="120"/>
      <c r="C26" s="28"/>
      <c r="D26" s="27"/>
      <c r="E26" s="106"/>
      <c r="F26" s="28"/>
      <c r="G26" s="27"/>
      <c r="H26" s="106"/>
      <c r="I26" s="28"/>
      <c r="J26" s="27"/>
      <c r="K26" s="106"/>
    </row>
    <row r="27" spans="1:23" ht="12.75" customHeight="1" x14ac:dyDescent="0.25">
      <c r="A27" s="24" t="s">
        <v>292</v>
      </c>
      <c r="B27" s="115"/>
      <c r="C27" s="284"/>
      <c r="D27" s="282"/>
      <c r="E27" s="283"/>
      <c r="F27" s="284"/>
      <c r="G27" s="282"/>
      <c r="H27" s="283"/>
      <c r="I27" s="284"/>
      <c r="J27" s="282"/>
      <c r="K27" s="283"/>
    </row>
    <row r="28" spans="1:23" ht="12.75" customHeight="1" x14ac:dyDescent="0.25">
      <c r="A28" s="24" t="s">
        <v>322</v>
      </c>
      <c r="B28" s="115"/>
      <c r="C28" s="284"/>
      <c r="D28" s="282"/>
      <c r="E28" s="283"/>
      <c r="F28" s="284"/>
      <c r="G28" s="282"/>
      <c r="H28" s="283"/>
      <c r="I28" s="284"/>
      <c r="J28" s="282"/>
      <c r="K28" s="283"/>
    </row>
    <row r="29" spans="1:23" ht="12.75" customHeight="1" x14ac:dyDescent="0.25">
      <c r="A29" s="24" t="s">
        <v>147</v>
      </c>
      <c r="B29" s="115"/>
      <c r="C29" s="284"/>
      <c r="D29" s="282"/>
      <c r="E29" s="283"/>
      <c r="F29" s="284"/>
      <c r="G29" s="282"/>
      <c r="H29" s="283"/>
      <c r="I29" s="284"/>
      <c r="J29" s="282"/>
      <c r="K29" s="283"/>
    </row>
    <row r="30" spans="1:23" ht="12.75" customHeight="1" x14ac:dyDescent="0.25">
      <c r="A30" s="24" t="s">
        <v>330</v>
      </c>
      <c r="B30" s="115"/>
      <c r="C30" s="284">
        <v>60713</v>
      </c>
      <c r="D30" s="282">
        <v>128791</v>
      </c>
      <c r="E30" s="283">
        <v>109358</v>
      </c>
      <c r="F30" s="284"/>
      <c r="G30" s="282"/>
      <c r="H30" s="283">
        <v>408838</v>
      </c>
      <c r="I30" s="284"/>
      <c r="J30" s="282"/>
      <c r="K30" s="283"/>
    </row>
    <row r="31" spans="1:23" ht="12.75" customHeight="1" x14ac:dyDescent="0.25">
      <c r="A31" s="24" t="s">
        <v>111</v>
      </c>
      <c r="B31" s="115">
        <v>3</v>
      </c>
      <c r="C31" s="284">
        <v>213721</v>
      </c>
      <c r="D31" s="282">
        <v>100</v>
      </c>
      <c r="E31" s="283">
        <v>0</v>
      </c>
      <c r="F31" s="284"/>
      <c r="G31" s="282"/>
      <c r="H31" s="283"/>
      <c r="I31" s="284"/>
      <c r="J31" s="282"/>
      <c r="K31" s="283"/>
    </row>
    <row r="32" spans="1:23" ht="12.75" customHeight="1" x14ac:dyDescent="0.25">
      <c r="A32" s="59" t="s">
        <v>35</v>
      </c>
      <c r="B32" s="134"/>
      <c r="C32" s="45">
        <f t="shared" ref="C32:K32" si="3">SUM(C27:C31)</f>
        <v>274434</v>
      </c>
      <c r="D32" s="44">
        <f t="shared" si="3"/>
        <v>128891</v>
      </c>
      <c r="E32" s="107">
        <f t="shared" si="3"/>
        <v>109358</v>
      </c>
      <c r="F32" s="45">
        <f t="shared" si="3"/>
        <v>0</v>
      </c>
      <c r="G32" s="44">
        <f t="shared" si="3"/>
        <v>0</v>
      </c>
      <c r="H32" s="107">
        <f t="shared" si="3"/>
        <v>408838</v>
      </c>
      <c r="I32" s="45">
        <f t="shared" si="3"/>
        <v>0</v>
      </c>
      <c r="J32" s="44">
        <f t="shared" si="3"/>
        <v>0</v>
      </c>
      <c r="K32" s="107">
        <f t="shared" si="3"/>
        <v>0</v>
      </c>
      <c r="L32" s="39"/>
      <c r="M32" s="39"/>
      <c r="N32" s="39"/>
      <c r="O32" s="39"/>
      <c r="P32" s="39"/>
      <c r="Q32" s="39"/>
      <c r="R32" s="39"/>
      <c r="S32" s="39"/>
      <c r="T32" s="39"/>
      <c r="U32" s="39"/>
      <c r="V32" s="39"/>
      <c r="W32" s="39"/>
    </row>
    <row r="33" spans="1:23" ht="5.0999999999999996" customHeight="1" x14ac:dyDescent="0.25">
      <c r="A33" s="25"/>
      <c r="B33" s="115"/>
      <c r="C33" s="28"/>
      <c r="D33" s="27"/>
      <c r="E33" s="106"/>
      <c r="F33" s="28"/>
      <c r="G33" s="27"/>
      <c r="H33" s="106"/>
      <c r="I33" s="28"/>
      <c r="J33" s="27"/>
      <c r="K33" s="106"/>
    </row>
    <row r="34" spans="1:23" ht="12.75" customHeight="1" x14ac:dyDescent="0.25">
      <c r="A34" s="55" t="s">
        <v>33</v>
      </c>
      <c r="B34" s="115"/>
      <c r="C34" s="28"/>
      <c r="D34" s="27"/>
      <c r="E34" s="106"/>
      <c r="F34" s="28"/>
      <c r="G34" s="27"/>
      <c r="H34" s="106"/>
      <c r="I34" s="28"/>
      <c r="J34" s="27"/>
      <c r="K34" s="106"/>
    </row>
    <row r="35" spans="1:23" ht="12.75" customHeight="1" x14ac:dyDescent="0.25">
      <c r="A35" s="24" t="s">
        <v>322</v>
      </c>
      <c r="B35" s="115"/>
      <c r="C35" s="284"/>
      <c r="D35" s="282"/>
      <c r="E35" s="283"/>
      <c r="F35" s="284"/>
      <c r="G35" s="282"/>
      <c r="H35" s="283"/>
      <c r="I35" s="284"/>
      <c r="J35" s="282"/>
      <c r="K35" s="283"/>
    </row>
    <row r="36" spans="1:23" ht="12.75" customHeight="1" x14ac:dyDescent="0.25">
      <c r="A36" s="24" t="s">
        <v>111</v>
      </c>
      <c r="B36" s="115">
        <v>3</v>
      </c>
      <c r="C36" s="284"/>
      <c r="D36" s="282"/>
      <c r="E36" s="283"/>
      <c r="F36" s="284"/>
      <c r="G36" s="282"/>
      <c r="H36" s="283"/>
      <c r="I36" s="284"/>
      <c r="J36" s="282"/>
      <c r="K36" s="283"/>
    </row>
    <row r="37" spans="1:23" ht="12.75" customHeight="1" x14ac:dyDescent="0.25">
      <c r="A37" s="59" t="s">
        <v>34</v>
      </c>
      <c r="B37" s="134"/>
      <c r="C37" s="140">
        <f>SUM(C35:C36)</f>
        <v>0</v>
      </c>
      <c r="D37" s="145">
        <f>SUM(D35:D36)</f>
        <v>0</v>
      </c>
      <c r="E37" s="107">
        <f>SUM(E35:E36)</f>
        <v>0</v>
      </c>
      <c r="F37" s="45">
        <f t="shared" ref="F37:K37" si="4">SUM(F35:F36)</f>
        <v>0</v>
      </c>
      <c r="G37" s="44">
        <f t="shared" si="4"/>
        <v>0</v>
      </c>
      <c r="H37" s="107">
        <f t="shared" si="4"/>
        <v>0</v>
      </c>
      <c r="I37" s="45">
        <f t="shared" si="4"/>
        <v>0</v>
      </c>
      <c r="J37" s="44">
        <f t="shared" si="4"/>
        <v>0</v>
      </c>
      <c r="K37" s="107">
        <f t="shared" si="4"/>
        <v>0</v>
      </c>
      <c r="L37" s="39"/>
      <c r="M37" s="39"/>
      <c r="N37" s="39"/>
      <c r="O37" s="39"/>
      <c r="P37" s="39"/>
      <c r="Q37" s="39"/>
      <c r="R37" s="39"/>
      <c r="S37" s="39"/>
      <c r="T37" s="39"/>
      <c r="U37" s="39"/>
      <c r="V37" s="39"/>
      <c r="W37" s="39"/>
    </row>
    <row r="38" spans="1:23" ht="12.75" customHeight="1" x14ac:dyDescent="0.25">
      <c r="A38" s="59" t="s">
        <v>495</v>
      </c>
      <c r="B38" s="134"/>
      <c r="C38" s="45">
        <f>C32+C37</f>
        <v>274434</v>
      </c>
      <c r="D38" s="44">
        <f>D32+D37</f>
        <v>128891</v>
      </c>
      <c r="E38" s="107">
        <f>E32+E37</f>
        <v>109358</v>
      </c>
      <c r="F38" s="45">
        <f t="shared" ref="F38:K38" si="5">F32+F37</f>
        <v>0</v>
      </c>
      <c r="G38" s="44">
        <f t="shared" si="5"/>
        <v>0</v>
      </c>
      <c r="H38" s="107">
        <f t="shared" si="5"/>
        <v>408838</v>
      </c>
      <c r="I38" s="45">
        <f t="shared" si="5"/>
        <v>0</v>
      </c>
      <c r="J38" s="44">
        <f t="shared" si="5"/>
        <v>0</v>
      </c>
      <c r="K38" s="107">
        <f t="shared" si="5"/>
        <v>0</v>
      </c>
      <c r="L38" s="39"/>
      <c r="M38" s="39"/>
      <c r="N38" s="39"/>
      <c r="O38" s="39"/>
      <c r="P38" s="39"/>
      <c r="Q38" s="39"/>
      <c r="R38" s="39"/>
      <c r="S38" s="39"/>
      <c r="T38" s="39"/>
      <c r="U38" s="39"/>
      <c r="V38" s="39"/>
      <c r="W38" s="39"/>
    </row>
    <row r="39" spans="1:23" s="42" customFormat="1" ht="5.0999999999999996" customHeight="1" x14ac:dyDescent="0.25">
      <c r="A39" s="25"/>
      <c r="B39" s="115"/>
      <c r="C39" s="28"/>
      <c r="D39" s="27"/>
      <c r="E39" s="106"/>
      <c r="F39" s="28"/>
      <c r="G39" s="27"/>
      <c r="H39" s="106"/>
      <c r="I39" s="28"/>
      <c r="J39" s="27"/>
      <c r="K39" s="106"/>
    </row>
    <row r="40" spans="1:23" ht="12.75" customHeight="1" x14ac:dyDescent="0.25">
      <c r="A40" s="413" t="s">
        <v>319</v>
      </c>
      <c r="B40" s="142">
        <v>2</v>
      </c>
      <c r="C40" s="543">
        <f t="shared" ref="C40:K40" si="6">C23-C38</f>
        <v>1472199</v>
      </c>
      <c r="D40" s="544">
        <f t="shared" si="6"/>
        <v>2677086</v>
      </c>
      <c r="E40" s="545">
        <f t="shared" si="6"/>
        <v>2347135</v>
      </c>
      <c r="F40" s="543">
        <f t="shared" si="6"/>
        <v>0</v>
      </c>
      <c r="G40" s="544">
        <f t="shared" si="6"/>
        <v>0</v>
      </c>
      <c r="H40" s="545">
        <f t="shared" si="6"/>
        <v>799716</v>
      </c>
      <c r="I40" s="543">
        <f t="shared" si="6"/>
        <v>235192</v>
      </c>
      <c r="J40" s="544">
        <f t="shared" si="6"/>
        <v>262692</v>
      </c>
      <c r="K40" s="545">
        <f t="shared" si="6"/>
        <v>288142.75</v>
      </c>
      <c r="L40" s="39"/>
      <c r="M40" s="39"/>
      <c r="N40" s="39"/>
      <c r="O40" s="39"/>
      <c r="P40" s="39"/>
      <c r="Q40" s="39"/>
      <c r="R40" s="39"/>
      <c r="S40" s="39"/>
      <c r="T40" s="39"/>
      <c r="U40" s="39"/>
      <c r="V40" s="39"/>
      <c r="W40" s="39"/>
    </row>
    <row r="41" spans="1:23" ht="5.0999999999999996" customHeight="1" x14ac:dyDescent="0.25">
      <c r="A41" s="25"/>
      <c r="B41" s="115"/>
      <c r="C41" s="28"/>
      <c r="D41" s="27"/>
      <c r="E41" s="106"/>
      <c r="F41" s="28"/>
      <c r="G41" s="27"/>
      <c r="H41" s="106"/>
      <c r="I41" s="28"/>
      <c r="J41" s="27"/>
      <c r="K41" s="106"/>
    </row>
    <row r="42" spans="1:23" ht="12.75" customHeight="1" x14ac:dyDescent="0.25">
      <c r="A42" s="55" t="s">
        <v>188</v>
      </c>
      <c r="B42" s="115"/>
      <c r="C42" s="28"/>
      <c r="D42" s="27"/>
      <c r="E42" s="106"/>
      <c r="F42" s="28"/>
      <c r="G42" s="27"/>
      <c r="H42" s="106"/>
      <c r="I42" s="28"/>
      <c r="J42" s="27"/>
      <c r="K42" s="106"/>
    </row>
    <row r="43" spans="1:23" ht="12.75" customHeight="1" x14ac:dyDescent="0.25">
      <c r="A43" s="24" t="s">
        <v>130</v>
      </c>
      <c r="B43" s="115"/>
      <c r="C43" s="284">
        <v>1472099</v>
      </c>
      <c r="D43" s="282">
        <v>2677086</v>
      </c>
      <c r="E43" s="283">
        <f>2347036+99</f>
        <v>2347135</v>
      </c>
      <c r="F43" s="284"/>
      <c r="G43" s="282"/>
      <c r="H43" s="283">
        <f>799616+100</f>
        <v>799716</v>
      </c>
      <c r="I43" s="284">
        <v>235192</v>
      </c>
      <c r="J43" s="282">
        <v>262692</v>
      </c>
      <c r="K43" s="283">
        <v>288143</v>
      </c>
    </row>
    <row r="44" spans="1:23" ht="12.75" customHeight="1" x14ac:dyDescent="0.25">
      <c r="A44" s="24" t="s">
        <v>419</v>
      </c>
      <c r="B44" s="115"/>
      <c r="C44" s="284"/>
      <c r="D44" s="282"/>
      <c r="E44" s="283"/>
      <c r="F44" s="284"/>
      <c r="G44" s="282"/>
      <c r="H44" s="283"/>
      <c r="I44" s="284"/>
      <c r="J44" s="282"/>
      <c r="K44" s="283"/>
    </row>
    <row r="45" spans="1:23" ht="12.75" customHeight="1" x14ac:dyDescent="0.25">
      <c r="A45" s="24" t="s">
        <v>9</v>
      </c>
      <c r="B45" s="115"/>
      <c r="C45" s="284">
        <v>100</v>
      </c>
      <c r="D45" s="282"/>
      <c r="E45" s="283"/>
      <c r="F45" s="284"/>
      <c r="G45" s="282"/>
      <c r="H45" s="283"/>
      <c r="I45" s="284"/>
      <c r="J45" s="282"/>
      <c r="K45" s="283"/>
    </row>
    <row r="46" spans="1:23" ht="12.75" customHeight="1" x14ac:dyDescent="0.25">
      <c r="A46" s="32" t="s">
        <v>181</v>
      </c>
      <c r="B46" s="136">
        <v>2</v>
      </c>
      <c r="C46" s="34">
        <f>SUM(C43:C45)</f>
        <v>1472199</v>
      </c>
      <c r="D46" s="33">
        <f t="shared" ref="D46:K46" si="7">SUM(D43:D45)</f>
        <v>2677086</v>
      </c>
      <c r="E46" s="135">
        <f t="shared" si="7"/>
        <v>2347135</v>
      </c>
      <c r="F46" s="34">
        <f t="shared" si="7"/>
        <v>0</v>
      </c>
      <c r="G46" s="33">
        <f t="shared" si="7"/>
        <v>0</v>
      </c>
      <c r="H46" s="135">
        <f t="shared" si="7"/>
        <v>799716</v>
      </c>
      <c r="I46" s="34">
        <f t="shared" si="7"/>
        <v>235192</v>
      </c>
      <c r="J46" s="33">
        <f t="shared" si="7"/>
        <v>262692</v>
      </c>
      <c r="K46" s="135">
        <f t="shared" si="7"/>
        <v>288143</v>
      </c>
      <c r="L46" s="39"/>
      <c r="M46" s="39"/>
      <c r="N46" s="39"/>
      <c r="O46" s="39"/>
      <c r="P46" s="39"/>
      <c r="Q46" s="39"/>
      <c r="R46" s="39"/>
      <c r="S46" s="39"/>
      <c r="T46" s="39"/>
      <c r="U46" s="39"/>
      <c r="V46" s="39"/>
      <c r="W46" s="39"/>
    </row>
    <row r="47" spans="1:23" ht="12.75" customHeight="1" x14ac:dyDescent="0.25">
      <c r="A47" s="35" t="s">
        <v>204</v>
      </c>
      <c r="B47" s="36"/>
      <c r="C47" s="39"/>
      <c r="D47" s="39"/>
      <c r="E47" s="39"/>
      <c r="F47" s="39"/>
      <c r="G47" s="39"/>
      <c r="H47" s="39"/>
      <c r="I47" s="39"/>
      <c r="J47" s="39"/>
      <c r="K47" s="39"/>
    </row>
    <row r="48" spans="1:23" ht="12.75" customHeight="1" x14ac:dyDescent="0.25">
      <c r="A48" s="541" t="s">
        <v>662</v>
      </c>
      <c r="B48" s="47"/>
      <c r="C48" s="47"/>
      <c r="D48" s="47"/>
      <c r="E48" s="47"/>
      <c r="F48" s="47"/>
      <c r="G48" s="47"/>
      <c r="H48" s="47"/>
      <c r="I48" s="47"/>
      <c r="J48" s="47"/>
      <c r="K48" s="47"/>
    </row>
    <row r="49" spans="1:11" ht="12.75" customHeight="1" x14ac:dyDescent="0.25">
      <c r="A49" s="541" t="s">
        <v>663</v>
      </c>
      <c r="B49" s="40"/>
      <c r="C49" s="48"/>
      <c r="D49" s="48"/>
      <c r="E49" s="46"/>
      <c r="F49" s="46"/>
      <c r="G49" s="46"/>
      <c r="H49" s="46"/>
      <c r="I49" s="46"/>
      <c r="J49" s="46"/>
      <c r="K49" s="46"/>
    </row>
    <row r="50" spans="1:11" ht="12.75" customHeight="1" x14ac:dyDescent="0.25">
      <c r="A50" s="37" t="s">
        <v>396</v>
      </c>
      <c r="B50" s="40"/>
      <c r="C50" s="48"/>
      <c r="D50" s="48"/>
      <c r="E50" s="46"/>
      <c r="F50" s="46"/>
      <c r="G50" s="46"/>
      <c r="H50" s="46"/>
      <c r="I50" s="46"/>
      <c r="J50" s="46"/>
      <c r="K50" s="46"/>
    </row>
    <row r="51" spans="1:11" ht="11.25" customHeight="1" x14ac:dyDescent="0.25">
      <c r="A51" s="41" t="s">
        <v>280</v>
      </c>
      <c r="B51" s="40"/>
      <c r="C51" s="73">
        <f t="shared" ref="C51:K51" si="8">C40-C46</f>
        <v>0</v>
      </c>
      <c r="D51" s="73">
        <f t="shared" si="8"/>
        <v>0</v>
      </c>
      <c r="E51" s="73">
        <f t="shared" si="8"/>
        <v>0</v>
      </c>
      <c r="F51" s="73">
        <f t="shared" si="8"/>
        <v>0</v>
      </c>
      <c r="G51" s="123">
        <f t="shared" si="8"/>
        <v>0</v>
      </c>
      <c r="H51" s="73">
        <f t="shared" si="8"/>
        <v>0</v>
      </c>
      <c r="I51" s="73">
        <f t="shared" si="8"/>
        <v>0</v>
      </c>
      <c r="J51" s="73">
        <f t="shared" si="8"/>
        <v>0</v>
      </c>
      <c r="K51" s="73">
        <f t="shared" si="8"/>
        <v>-0.25</v>
      </c>
    </row>
    <row r="52" spans="1:11" ht="11.25" customHeight="1" x14ac:dyDescent="0.25">
      <c r="B52" s="20"/>
    </row>
    <row r="53" spans="1:11" ht="11.25" customHeight="1" x14ac:dyDescent="0.25">
      <c r="B53" s="20"/>
    </row>
    <row r="54" spans="1:11" ht="11.25" customHeight="1" x14ac:dyDescent="0.25">
      <c r="B54" s="20"/>
    </row>
    <row r="55" spans="1:11" ht="11.25" customHeight="1" x14ac:dyDescent="0.25">
      <c r="B55" s="20"/>
    </row>
    <row r="56" spans="1:11" ht="11.25" customHeight="1" x14ac:dyDescent="0.25">
      <c r="B56" s="20"/>
    </row>
    <row r="57" spans="1:11" ht="11.25" customHeight="1" x14ac:dyDescent="0.25"/>
    <row r="58" spans="1:11" ht="11.25" customHeight="1" x14ac:dyDescent="0.25"/>
    <row r="59" spans="1:11" ht="11.25" customHeight="1" x14ac:dyDescent="0.25"/>
    <row r="60" spans="1:11" ht="11.25" customHeight="1" x14ac:dyDescent="0.25"/>
    <row r="61" spans="1:11" ht="11.25" customHeight="1" x14ac:dyDescent="0.25"/>
    <row r="62" spans="1:11" ht="11.25" customHeight="1" x14ac:dyDescent="0.25"/>
    <row r="63" spans="1:11" ht="11.25" customHeight="1" x14ac:dyDescent="0.25"/>
    <row r="64" spans="1:11"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sheetData>
  <sheetProtection password="A35B" sheet="1" objects="1" scenarios="1"/>
  <mergeCells count="1">
    <mergeCell ref="F2:H2"/>
  </mergeCells>
  <phoneticPr fontId="2" type="noConversion"/>
  <printOptions horizontalCentered="1"/>
  <pageMargins left="0.35433070866141736" right="0.15748031496062992" top="0.78740157480314965" bottom="0.59055118110236227" header="0.51181102362204722" footer="0.39370078740157483"/>
  <pageSetup paperSize="9" scale="8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9">
    <tabColor indexed="44"/>
    <pageSetUpPr fitToPage="1"/>
  </sheetPr>
  <dimension ref="A1:W80"/>
  <sheetViews>
    <sheetView showGridLines="0" workbookViewId="0">
      <pane xSplit="2" ySplit="3" topLeftCell="C22" activePane="bottomRight" state="frozen"/>
      <selection activeCell="G21" sqref="G21"/>
      <selection pane="topRight" activeCell="G21" sqref="G21"/>
      <selection pane="bottomLeft" activeCell="G21" sqref="G21"/>
      <selection pane="bottomRight" activeCell="J13" sqref="J13"/>
    </sheetView>
  </sheetViews>
  <sheetFormatPr defaultRowHeight="12.75" x14ac:dyDescent="0.25"/>
  <cols>
    <col min="1" max="1" width="35.7109375" style="20" customWidth="1"/>
    <col min="2" max="2" width="3.140625" style="43" customWidth="1"/>
    <col min="3" max="11" width="8.7109375" style="20" customWidth="1"/>
    <col min="12" max="12" width="9.85546875" style="20" customWidth="1"/>
    <col min="13" max="13" width="9.5703125" style="20" customWidth="1"/>
    <col min="14" max="14" width="9.85546875" style="20" customWidth="1"/>
    <col min="15" max="17" width="9.5703125" style="20" customWidth="1"/>
    <col min="18" max="18" width="9.85546875" style="20" customWidth="1"/>
    <col min="19" max="21" width="9.5703125" style="20" customWidth="1"/>
    <col min="22" max="23" width="9.85546875" style="20" customWidth="1"/>
    <col min="24" max="16384" width="9.140625" style="20"/>
  </cols>
  <sheetData>
    <row r="1" spans="1:23" ht="13.5" x14ac:dyDescent="0.25">
      <c r="A1" s="113" t="str">
        <f>_MEB4</f>
        <v>Greater Tzaneen Economic Development Agency (GTEDA) - Table D5 Budgeted Cash Flow</v>
      </c>
    </row>
    <row r="2" spans="1:23" s="542" customFormat="1" ht="27.75" customHeight="1" x14ac:dyDescent="0.25">
      <c r="A2" s="524" t="str">
        <f>desc</f>
        <v>Description</v>
      </c>
      <c r="B2" s="532" t="str">
        <f>head27</f>
        <v>Ref</v>
      </c>
      <c r="C2" s="109" t="str">
        <f>head1b</f>
        <v>2012/13</v>
      </c>
      <c r="D2" s="21" t="str">
        <f>head1A</f>
        <v>2013/14</v>
      </c>
      <c r="E2" s="103" t="str">
        <f>Head1</f>
        <v>2014/15</v>
      </c>
      <c r="F2" s="629" t="str">
        <f>Head2</f>
        <v>Current Year 2015/16</v>
      </c>
      <c r="G2" s="638"/>
      <c r="H2" s="639"/>
      <c r="I2" s="133" t="str">
        <f>Head3a</f>
        <v>Medium Term Revenue and Expenditure Framework</v>
      </c>
      <c r="J2" s="131"/>
      <c r="K2" s="132"/>
    </row>
    <row r="3" spans="1:23" s="542" customFormat="1" ht="27.75" customHeight="1" x14ac:dyDescent="0.25">
      <c r="A3" s="536" t="s">
        <v>225</v>
      </c>
      <c r="B3" s="533"/>
      <c r="C3" s="128" t="str">
        <f>Head5</f>
        <v>Audited Outcome</v>
      </c>
      <c r="D3" s="102" t="str">
        <f>Head5</f>
        <v>Audited Outcome</v>
      </c>
      <c r="E3" s="523" t="str">
        <f>Head5</f>
        <v>Audited Outcome</v>
      </c>
      <c r="F3" s="522" t="str">
        <f>Head6</f>
        <v>Original Budget</v>
      </c>
      <c r="G3" s="129" t="str">
        <f>Head7</f>
        <v>Adjusted Budget</v>
      </c>
      <c r="H3" s="523" t="str">
        <f>Head8</f>
        <v>Full Year Forecast</v>
      </c>
      <c r="I3" s="522" t="str">
        <f>Head9</f>
        <v>Budget Year 2016/17</v>
      </c>
      <c r="J3" s="129" t="str">
        <f>Head10</f>
        <v>Budget Year +1 2017/18</v>
      </c>
      <c r="K3" s="523" t="str">
        <f>Head11</f>
        <v>Budget Year +2 2018/19</v>
      </c>
    </row>
    <row r="4" spans="1:23" ht="12.75" customHeight="1" x14ac:dyDescent="0.25">
      <c r="A4" s="55" t="s">
        <v>374</v>
      </c>
      <c r="B4" s="115"/>
      <c r="C4" s="28"/>
      <c r="D4" s="27"/>
      <c r="E4" s="106"/>
      <c r="F4" s="28"/>
      <c r="G4" s="27"/>
      <c r="H4" s="106"/>
      <c r="I4" s="28"/>
      <c r="J4" s="27"/>
      <c r="K4" s="106"/>
    </row>
    <row r="5" spans="1:23" ht="12.75" customHeight="1" x14ac:dyDescent="0.25">
      <c r="A5" s="55" t="s">
        <v>413</v>
      </c>
      <c r="B5" s="115"/>
      <c r="C5" s="28"/>
      <c r="D5" s="27"/>
      <c r="E5" s="106"/>
      <c r="F5" s="28"/>
      <c r="G5" s="27"/>
      <c r="H5" s="106"/>
      <c r="I5" s="28"/>
      <c r="J5" s="27"/>
      <c r="K5" s="106"/>
    </row>
    <row r="6" spans="1:23" ht="12.75" customHeight="1" x14ac:dyDescent="0.25">
      <c r="A6" s="24" t="s">
        <v>250</v>
      </c>
      <c r="B6" s="115"/>
      <c r="C6" s="284">
        <v>4635464</v>
      </c>
      <c r="D6" s="282">
        <v>5660536</v>
      </c>
      <c r="E6" s="283">
        <v>6040442</v>
      </c>
      <c r="F6" s="284">
        <v>5698000</v>
      </c>
      <c r="G6" s="282"/>
      <c r="H6" s="283">
        <v>5697583</v>
      </c>
      <c r="I6" s="284">
        <f>'D2-FinPerf'!I20</f>
        <v>6734701</v>
      </c>
      <c r="J6" s="282">
        <f>'D2-FinPerf'!J20</f>
        <v>6948783</v>
      </c>
      <c r="K6" s="283">
        <f>'D2-FinPerf'!K20</f>
        <v>7363710</v>
      </c>
    </row>
    <row r="7" spans="1:23" ht="12.75" customHeight="1" x14ac:dyDescent="0.25">
      <c r="A7" s="24" t="s">
        <v>251</v>
      </c>
      <c r="B7" s="115"/>
      <c r="C7" s="284"/>
      <c r="D7" s="282"/>
      <c r="E7" s="283"/>
      <c r="F7" s="284"/>
      <c r="G7" s="282"/>
      <c r="H7" s="283"/>
      <c r="I7" s="284"/>
      <c r="J7" s="282"/>
      <c r="K7" s="283"/>
    </row>
    <row r="8" spans="1:23" ht="12.75" customHeight="1" x14ac:dyDescent="0.25">
      <c r="A8" s="24" t="s">
        <v>252</v>
      </c>
      <c r="B8" s="115"/>
      <c r="C8" s="284"/>
      <c r="D8" s="282"/>
      <c r="E8" s="283"/>
      <c r="F8" s="284"/>
      <c r="G8" s="282"/>
      <c r="H8" s="283"/>
      <c r="I8" s="284"/>
      <c r="J8" s="282"/>
      <c r="K8" s="283"/>
    </row>
    <row r="9" spans="1:23" ht="12.75" customHeight="1" x14ac:dyDescent="0.25">
      <c r="A9" s="24" t="s">
        <v>400</v>
      </c>
      <c r="B9" s="115"/>
      <c r="C9" s="284">
        <v>27936</v>
      </c>
      <c r="D9" s="282">
        <v>51428</v>
      </c>
      <c r="E9" s="283">
        <v>46744</v>
      </c>
      <c r="F9" s="284">
        <v>25000</v>
      </c>
      <c r="G9" s="282"/>
      <c r="H9" s="283">
        <v>25357</v>
      </c>
      <c r="I9" s="284"/>
      <c r="J9" s="282"/>
      <c r="K9" s="283"/>
    </row>
    <row r="10" spans="1:23" ht="12.75" customHeight="1" x14ac:dyDescent="0.25">
      <c r="A10" s="24" t="s">
        <v>224</v>
      </c>
      <c r="B10" s="115"/>
      <c r="C10" s="284"/>
      <c r="D10" s="282"/>
      <c r="E10" s="283"/>
      <c r="F10" s="284"/>
      <c r="G10" s="282"/>
      <c r="H10" s="283"/>
      <c r="I10" s="284"/>
      <c r="J10" s="282"/>
      <c r="K10" s="283"/>
    </row>
    <row r="11" spans="1:23" ht="12.75" customHeight="1" x14ac:dyDescent="0.25">
      <c r="A11" s="55" t="s">
        <v>414</v>
      </c>
      <c r="B11" s="115">
        <v>2</v>
      </c>
      <c r="C11" s="296"/>
      <c r="D11" s="294"/>
      <c r="E11" s="295"/>
      <c r="F11" s="296"/>
      <c r="G11" s="294"/>
      <c r="H11" s="295"/>
      <c r="I11" s="296"/>
      <c r="J11" s="294"/>
      <c r="K11" s="295"/>
    </row>
    <row r="12" spans="1:23" ht="12.75" customHeight="1" x14ac:dyDescent="0.25">
      <c r="A12" s="24" t="s">
        <v>253</v>
      </c>
      <c r="B12" s="115"/>
      <c r="C12" s="284">
        <v>-4405085</v>
      </c>
      <c r="D12" s="282">
        <v>-4769954</v>
      </c>
      <c r="E12" s="283">
        <v>-6190462</v>
      </c>
      <c r="F12" s="284">
        <v>-6648000</v>
      </c>
      <c r="G12" s="282"/>
      <c r="H12" s="283">
        <v>-6648233</v>
      </c>
      <c r="I12" s="284">
        <f>-'D2-FinPerf'!I37</f>
        <v>-6499999.709999999</v>
      </c>
      <c r="J12" s="282">
        <f>-'D2-FinPerf'!J37</f>
        <v>-6700000.0099999998</v>
      </c>
      <c r="K12" s="283">
        <f>-'D2-FinPerf'!K37</f>
        <v>-7100000.0199999996</v>
      </c>
    </row>
    <row r="13" spans="1:23" ht="12.75" customHeight="1" x14ac:dyDescent="0.25">
      <c r="A13" s="24" t="s">
        <v>29</v>
      </c>
      <c r="B13" s="115"/>
      <c r="C13" s="284"/>
      <c r="D13" s="282"/>
      <c r="E13" s="283">
        <v>-9113</v>
      </c>
      <c r="F13" s="284">
        <v>-63000</v>
      </c>
      <c r="G13" s="282"/>
      <c r="H13" s="283">
        <v>-63142</v>
      </c>
      <c r="I13" s="284"/>
      <c r="J13" s="282"/>
      <c r="K13" s="283"/>
    </row>
    <row r="14" spans="1:23" ht="12.75" customHeight="1" x14ac:dyDescent="0.25">
      <c r="A14" s="24" t="s">
        <v>403</v>
      </c>
      <c r="B14" s="115"/>
      <c r="C14" s="284"/>
      <c r="D14" s="282"/>
      <c r="E14" s="283"/>
      <c r="F14" s="284"/>
      <c r="G14" s="282"/>
      <c r="H14" s="283"/>
      <c r="I14" s="284"/>
      <c r="J14" s="282"/>
      <c r="K14" s="283"/>
    </row>
    <row r="15" spans="1:23" ht="12.75" customHeight="1" x14ac:dyDescent="0.25">
      <c r="A15" s="54" t="s">
        <v>965</v>
      </c>
      <c r="B15" s="115"/>
      <c r="C15" s="284"/>
      <c r="D15" s="282"/>
      <c r="E15" s="283">
        <v>-69213</v>
      </c>
      <c r="F15" s="284"/>
      <c r="G15" s="282"/>
      <c r="H15" s="283"/>
      <c r="I15" s="284"/>
      <c r="J15" s="282"/>
      <c r="K15" s="283"/>
    </row>
    <row r="16" spans="1:23" ht="12.75" customHeight="1" x14ac:dyDescent="0.25">
      <c r="A16" s="59" t="s">
        <v>406</v>
      </c>
      <c r="B16" s="134"/>
      <c r="C16" s="45">
        <f>SUM(C6:C10)+SUM(C12:C15)</f>
        <v>258315</v>
      </c>
      <c r="D16" s="44">
        <f t="shared" ref="D16:K16" si="0">SUM(D6:D10)+SUM(D12:D15)</f>
        <v>942010</v>
      </c>
      <c r="E16" s="107">
        <f t="shared" si="0"/>
        <v>-181602</v>
      </c>
      <c r="F16" s="45">
        <f t="shared" si="0"/>
        <v>-988000</v>
      </c>
      <c r="G16" s="44">
        <f t="shared" si="0"/>
        <v>0</v>
      </c>
      <c r="H16" s="107">
        <f t="shared" si="0"/>
        <v>-988435</v>
      </c>
      <c r="I16" s="45">
        <f t="shared" si="0"/>
        <v>234701.29000000097</v>
      </c>
      <c r="J16" s="44">
        <f t="shared" si="0"/>
        <v>248782.99000000022</v>
      </c>
      <c r="K16" s="107">
        <f t="shared" si="0"/>
        <v>263709.98000000045</v>
      </c>
      <c r="L16" s="39"/>
      <c r="M16" s="39"/>
      <c r="N16" s="39"/>
      <c r="O16" s="39"/>
      <c r="P16" s="39"/>
      <c r="Q16" s="39"/>
      <c r="R16" s="39"/>
      <c r="S16" s="39"/>
      <c r="T16" s="39"/>
      <c r="U16" s="39"/>
      <c r="V16" s="39"/>
      <c r="W16" s="39"/>
    </row>
    <row r="17" spans="1:23" ht="5.0999999999999996" customHeight="1" x14ac:dyDescent="0.25">
      <c r="A17" s="25"/>
      <c r="B17" s="115"/>
      <c r="C17" s="28"/>
      <c r="D17" s="27"/>
      <c r="E17" s="106"/>
      <c r="F17" s="28"/>
      <c r="G17" s="27"/>
      <c r="H17" s="106"/>
      <c r="I17" s="28"/>
      <c r="J17" s="27"/>
      <c r="K17" s="106"/>
    </row>
    <row r="18" spans="1:23" ht="12.75" customHeight="1" x14ac:dyDescent="0.25">
      <c r="A18" s="55" t="s">
        <v>281</v>
      </c>
      <c r="B18" s="115"/>
      <c r="C18" s="28"/>
      <c r="D18" s="27"/>
      <c r="E18" s="106"/>
      <c r="F18" s="28"/>
      <c r="G18" s="27"/>
      <c r="H18" s="106"/>
      <c r="I18" s="28"/>
      <c r="J18" s="27"/>
      <c r="K18" s="106"/>
    </row>
    <row r="19" spans="1:23" ht="12.75" customHeight="1" x14ac:dyDescent="0.25">
      <c r="A19" s="55" t="s">
        <v>413</v>
      </c>
      <c r="B19" s="115"/>
      <c r="C19" s="28"/>
      <c r="D19" s="27"/>
      <c r="E19" s="106"/>
      <c r="F19" s="28"/>
      <c r="G19" s="27"/>
      <c r="H19" s="106"/>
      <c r="I19" s="28"/>
      <c r="J19" s="27"/>
      <c r="K19" s="106"/>
    </row>
    <row r="20" spans="1:23" ht="12.75" customHeight="1" x14ac:dyDescent="0.25">
      <c r="A20" s="24" t="s">
        <v>434</v>
      </c>
      <c r="B20" s="115"/>
      <c r="C20" s="284">
        <v>-41089</v>
      </c>
      <c r="D20" s="282">
        <v>-51914</v>
      </c>
      <c r="E20" s="283">
        <v>-133284</v>
      </c>
      <c r="F20" s="284">
        <f>-102000-934000</f>
        <v>-1036000</v>
      </c>
      <c r="G20" s="282">
        <v>-2024000</v>
      </c>
      <c r="H20" s="283">
        <v>-102304</v>
      </c>
      <c r="I20" s="284">
        <v>-933000</v>
      </c>
      <c r="J20" s="282"/>
      <c r="K20" s="283"/>
    </row>
    <row r="21" spans="1:23" ht="12.75" customHeight="1" x14ac:dyDescent="0.25">
      <c r="A21" s="24" t="s">
        <v>18</v>
      </c>
      <c r="B21" s="115"/>
      <c r="C21" s="284"/>
      <c r="D21" s="282"/>
      <c r="E21" s="283"/>
      <c r="F21" s="284"/>
      <c r="G21" s="282"/>
      <c r="H21" s="283"/>
      <c r="I21" s="284"/>
      <c r="J21" s="282"/>
      <c r="K21" s="283"/>
    </row>
    <row r="22" spans="1:23" ht="12.75" customHeight="1" x14ac:dyDescent="0.25">
      <c r="A22" s="24" t="s">
        <v>404</v>
      </c>
      <c r="B22" s="120"/>
      <c r="C22" s="284"/>
      <c r="D22" s="282"/>
      <c r="E22" s="283"/>
      <c r="F22" s="284"/>
      <c r="G22" s="282"/>
      <c r="H22" s="283"/>
      <c r="I22" s="284"/>
      <c r="J22" s="282"/>
      <c r="K22" s="283"/>
    </row>
    <row r="23" spans="1:23" ht="12.75" customHeight="1" x14ac:dyDescent="0.25">
      <c r="A23" s="24" t="s">
        <v>405</v>
      </c>
      <c r="B23" s="115"/>
      <c r="C23" s="284"/>
      <c r="D23" s="282"/>
      <c r="E23" s="283"/>
      <c r="F23" s="284"/>
      <c r="G23" s="282"/>
      <c r="H23" s="283"/>
      <c r="I23" s="284"/>
      <c r="J23" s="282"/>
      <c r="K23" s="283"/>
    </row>
    <row r="24" spans="1:23" ht="12.75" customHeight="1" x14ac:dyDescent="0.25">
      <c r="A24" s="55" t="s">
        <v>414</v>
      </c>
      <c r="B24" s="115"/>
      <c r="C24" s="28"/>
      <c r="D24" s="27"/>
      <c r="E24" s="106"/>
      <c r="F24" s="28"/>
      <c r="G24" s="27"/>
      <c r="H24" s="106"/>
      <c r="I24" s="28"/>
      <c r="J24" s="27"/>
      <c r="K24" s="106"/>
    </row>
    <row r="25" spans="1:23" ht="12.75" customHeight="1" x14ac:dyDescent="0.25">
      <c r="A25" s="24" t="s">
        <v>254</v>
      </c>
      <c r="B25" s="115"/>
      <c r="C25" s="284"/>
      <c r="D25" s="282"/>
      <c r="E25" s="283"/>
      <c r="F25" s="284"/>
      <c r="G25" s="282"/>
      <c r="H25" s="283"/>
      <c r="I25" s="284"/>
      <c r="J25" s="282"/>
      <c r="K25" s="283"/>
    </row>
    <row r="26" spans="1:23" ht="12.75" customHeight="1" x14ac:dyDescent="0.25">
      <c r="A26" s="59" t="s">
        <v>407</v>
      </c>
      <c r="B26" s="134"/>
      <c r="C26" s="45">
        <f>SUM(C20:C23)+C25</f>
        <v>-41089</v>
      </c>
      <c r="D26" s="44">
        <f t="shared" ref="D26:K26" si="1">SUM(D20:D23)+D25</f>
        <v>-51914</v>
      </c>
      <c r="E26" s="107">
        <f t="shared" si="1"/>
        <v>-133284</v>
      </c>
      <c r="F26" s="45">
        <f t="shared" si="1"/>
        <v>-1036000</v>
      </c>
      <c r="G26" s="44">
        <f t="shared" si="1"/>
        <v>-2024000</v>
      </c>
      <c r="H26" s="107">
        <f t="shared" si="1"/>
        <v>-102304</v>
      </c>
      <c r="I26" s="45">
        <f t="shared" si="1"/>
        <v>-933000</v>
      </c>
      <c r="J26" s="44">
        <f t="shared" si="1"/>
        <v>0</v>
      </c>
      <c r="K26" s="107">
        <f t="shared" si="1"/>
        <v>0</v>
      </c>
      <c r="L26" s="39"/>
      <c r="M26" s="39"/>
      <c r="N26" s="39"/>
      <c r="O26" s="39"/>
      <c r="P26" s="39"/>
      <c r="Q26" s="39"/>
      <c r="R26" s="39"/>
      <c r="S26" s="39"/>
      <c r="T26" s="39"/>
      <c r="U26" s="39"/>
      <c r="V26" s="39"/>
      <c r="W26" s="39"/>
    </row>
    <row r="27" spans="1:23" ht="5.0999999999999996" customHeight="1" x14ac:dyDescent="0.25">
      <c r="A27" s="25"/>
      <c r="B27" s="115"/>
      <c r="C27" s="28"/>
      <c r="D27" s="27"/>
      <c r="E27" s="106"/>
      <c r="F27" s="28"/>
      <c r="G27" s="27"/>
      <c r="H27" s="106"/>
      <c r="I27" s="28"/>
      <c r="J27" s="27"/>
      <c r="K27" s="106"/>
    </row>
    <row r="28" spans="1:23" ht="12.75" customHeight="1" x14ac:dyDescent="0.25">
      <c r="A28" s="55" t="s">
        <v>291</v>
      </c>
      <c r="B28" s="115"/>
      <c r="C28" s="28"/>
      <c r="D28" s="27"/>
      <c r="E28" s="106"/>
      <c r="F28" s="28"/>
      <c r="G28" s="27"/>
      <c r="H28" s="106"/>
      <c r="I28" s="28"/>
      <c r="J28" s="27"/>
      <c r="K28" s="106"/>
    </row>
    <row r="29" spans="1:23" ht="12.75" customHeight="1" x14ac:dyDescent="0.25">
      <c r="A29" s="55" t="s">
        <v>413</v>
      </c>
      <c r="B29" s="115"/>
      <c r="C29" s="28"/>
      <c r="D29" s="27"/>
      <c r="E29" s="106"/>
      <c r="F29" s="28"/>
      <c r="G29" s="27"/>
      <c r="H29" s="106"/>
      <c r="I29" s="28"/>
      <c r="J29" s="27"/>
      <c r="K29" s="106"/>
    </row>
    <row r="30" spans="1:23" ht="12.75" customHeight="1" x14ac:dyDescent="0.25">
      <c r="A30" s="24" t="s">
        <v>416</v>
      </c>
      <c r="B30" s="115"/>
      <c r="C30" s="284"/>
      <c r="D30" s="282"/>
      <c r="E30" s="283"/>
      <c r="F30" s="284"/>
      <c r="G30" s="282"/>
      <c r="H30" s="283"/>
      <c r="I30" s="284"/>
      <c r="J30" s="282"/>
      <c r="K30" s="283"/>
    </row>
    <row r="31" spans="1:23" ht="12.75" customHeight="1" x14ac:dyDescent="0.25">
      <c r="A31" s="24" t="s">
        <v>463</v>
      </c>
      <c r="B31" s="115"/>
      <c r="C31" s="284"/>
      <c r="D31" s="282"/>
      <c r="E31" s="283"/>
      <c r="F31" s="284"/>
      <c r="G31" s="282"/>
      <c r="H31" s="283"/>
      <c r="I31" s="284"/>
      <c r="J31" s="282"/>
      <c r="K31" s="283"/>
    </row>
    <row r="32" spans="1:23" ht="12.75" customHeight="1" x14ac:dyDescent="0.25">
      <c r="A32" s="24" t="s">
        <v>966</v>
      </c>
      <c r="B32" s="115"/>
      <c r="C32" s="284"/>
      <c r="D32" s="282"/>
      <c r="E32" s="283"/>
      <c r="F32" s="284"/>
      <c r="G32" s="282"/>
      <c r="H32" s="283"/>
      <c r="I32" s="284"/>
      <c r="J32" s="282"/>
      <c r="K32" s="283"/>
    </row>
    <row r="33" spans="1:23" ht="12.75" customHeight="1" x14ac:dyDescent="0.25">
      <c r="A33" s="55" t="s">
        <v>414</v>
      </c>
      <c r="B33" s="115"/>
      <c r="C33" s="28"/>
      <c r="D33" s="27"/>
      <c r="E33" s="106"/>
      <c r="F33" s="28"/>
      <c r="G33" s="27"/>
      <c r="H33" s="106"/>
      <c r="I33" s="28"/>
      <c r="J33" s="27"/>
      <c r="K33" s="106"/>
    </row>
    <row r="34" spans="1:23" ht="12.75" customHeight="1" x14ac:dyDescent="0.25">
      <c r="A34" s="24" t="s">
        <v>415</v>
      </c>
      <c r="B34" s="115"/>
      <c r="C34" s="284"/>
      <c r="D34" s="282"/>
      <c r="E34" s="283"/>
      <c r="F34" s="284"/>
      <c r="G34" s="282"/>
      <c r="H34" s="283"/>
      <c r="I34" s="284"/>
      <c r="J34" s="282"/>
      <c r="K34" s="283"/>
    </row>
    <row r="35" spans="1:23" ht="12.75" customHeight="1" x14ac:dyDescent="0.25">
      <c r="A35" s="59" t="s">
        <v>408</v>
      </c>
      <c r="B35" s="134"/>
      <c r="C35" s="45">
        <f>SUM(C29:C32)+C34</f>
        <v>0</v>
      </c>
      <c r="D35" s="44">
        <f t="shared" ref="D35:K35" si="2">SUM(D29:D32)+D34</f>
        <v>0</v>
      </c>
      <c r="E35" s="107">
        <f t="shared" si="2"/>
        <v>0</v>
      </c>
      <c r="F35" s="45">
        <f t="shared" si="2"/>
        <v>0</v>
      </c>
      <c r="G35" s="44">
        <f t="shared" si="2"/>
        <v>0</v>
      </c>
      <c r="H35" s="107">
        <f t="shared" si="2"/>
        <v>0</v>
      </c>
      <c r="I35" s="45">
        <f t="shared" si="2"/>
        <v>0</v>
      </c>
      <c r="J35" s="44">
        <f t="shared" si="2"/>
        <v>0</v>
      </c>
      <c r="K35" s="107">
        <f t="shared" si="2"/>
        <v>0</v>
      </c>
      <c r="L35" s="39"/>
      <c r="M35" s="39"/>
      <c r="N35" s="39"/>
      <c r="O35" s="39"/>
      <c r="P35" s="39"/>
      <c r="Q35" s="39"/>
      <c r="R35" s="39"/>
      <c r="S35" s="39"/>
      <c r="T35" s="39"/>
      <c r="U35" s="39"/>
      <c r="V35" s="39"/>
      <c r="W35" s="39"/>
    </row>
    <row r="36" spans="1:23" s="42" customFormat="1" ht="5.0999999999999996" customHeight="1" x14ac:dyDescent="0.25">
      <c r="A36" s="25"/>
      <c r="B36" s="115"/>
      <c r="C36" s="28"/>
      <c r="D36" s="27"/>
      <c r="E36" s="106"/>
      <c r="F36" s="28"/>
      <c r="G36" s="27"/>
      <c r="H36" s="106"/>
      <c r="I36" s="28"/>
      <c r="J36" s="27"/>
      <c r="K36" s="106"/>
    </row>
    <row r="37" spans="1:23" ht="12.75" customHeight="1" x14ac:dyDescent="0.25">
      <c r="A37" s="413" t="s">
        <v>417</v>
      </c>
      <c r="B37" s="142">
        <v>1</v>
      </c>
      <c r="C37" s="543">
        <f t="shared" ref="C37:K37" si="3">C16+C26+C35</f>
        <v>217226</v>
      </c>
      <c r="D37" s="544">
        <f t="shared" si="3"/>
        <v>890096</v>
      </c>
      <c r="E37" s="545">
        <f t="shared" si="3"/>
        <v>-314886</v>
      </c>
      <c r="F37" s="543">
        <f t="shared" si="3"/>
        <v>-2024000</v>
      </c>
      <c r="G37" s="544">
        <f t="shared" si="3"/>
        <v>-2024000</v>
      </c>
      <c r="H37" s="545">
        <f t="shared" si="3"/>
        <v>-1090739</v>
      </c>
      <c r="I37" s="543">
        <f t="shared" si="3"/>
        <v>-698298.70999999903</v>
      </c>
      <c r="J37" s="544">
        <f t="shared" si="3"/>
        <v>248782.99000000022</v>
      </c>
      <c r="K37" s="545">
        <f t="shared" si="3"/>
        <v>263709.98000000045</v>
      </c>
      <c r="L37" s="39"/>
      <c r="M37" s="39"/>
      <c r="N37" s="39"/>
      <c r="O37" s="39"/>
      <c r="P37" s="39"/>
      <c r="Q37" s="39"/>
      <c r="R37" s="39"/>
      <c r="S37" s="39"/>
      <c r="T37" s="39"/>
      <c r="U37" s="39"/>
      <c r="V37" s="39"/>
      <c r="W37" s="39"/>
    </row>
    <row r="38" spans="1:23" ht="12.75" customHeight="1" x14ac:dyDescent="0.25">
      <c r="A38" s="24" t="s">
        <v>376</v>
      </c>
      <c r="B38" s="115">
        <v>2</v>
      </c>
      <c r="C38" s="297">
        <v>1231119</v>
      </c>
      <c r="D38" s="558">
        <f>C39</f>
        <v>1448345</v>
      </c>
      <c r="E38" s="559">
        <f>D39</f>
        <v>2338441</v>
      </c>
      <c r="F38" s="560">
        <f>$E$39</f>
        <v>2023555</v>
      </c>
      <c r="G38" s="558">
        <f>$E$39</f>
        <v>2023555</v>
      </c>
      <c r="H38" s="559">
        <f>$E$39</f>
        <v>2023555</v>
      </c>
      <c r="I38" s="560">
        <f>H39</f>
        <v>932816</v>
      </c>
      <c r="J38" s="400">
        <f>I39</f>
        <v>234517.29000000097</v>
      </c>
      <c r="K38" s="408">
        <f>J39</f>
        <v>483300.28000000119</v>
      </c>
    </row>
    <row r="39" spans="1:23" ht="12.75" customHeight="1" x14ac:dyDescent="0.25">
      <c r="A39" s="365" t="s">
        <v>321</v>
      </c>
      <c r="B39" s="366">
        <v>2</v>
      </c>
      <c r="C39" s="228">
        <f>C37+C38</f>
        <v>1448345</v>
      </c>
      <c r="D39" s="229">
        <f>D37+D38</f>
        <v>2338441</v>
      </c>
      <c r="E39" s="230">
        <f>E37+E38</f>
        <v>2023555</v>
      </c>
      <c r="F39" s="228">
        <f t="shared" ref="F39:K39" si="4">F37+F38</f>
        <v>-445</v>
      </c>
      <c r="G39" s="229">
        <f t="shared" si="4"/>
        <v>-445</v>
      </c>
      <c r="H39" s="230">
        <f t="shared" si="4"/>
        <v>932816</v>
      </c>
      <c r="I39" s="228">
        <f t="shared" si="4"/>
        <v>234517.29000000097</v>
      </c>
      <c r="J39" s="229">
        <f t="shared" si="4"/>
        <v>483300.28000000119</v>
      </c>
      <c r="K39" s="230">
        <f t="shared" si="4"/>
        <v>747010.26000000164</v>
      </c>
    </row>
    <row r="40" spans="1:23" ht="12.75" customHeight="1" x14ac:dyDescent="0.25">
      <c r="A40" s="35" t="s">
        <v>204</v>
      </c>
      <c r="B40" s="36"/>
      <c r="C40" s="38"/>
      <c r="D40" s="38"/>
      <c r="E40" s="39"/>
      <c r="F40" s="39"/>
      <c r="G40" s="39"/>
      <c r="H40" s="39"/>
      <c r="I40" s="39"/>
      <c r="J40" s="39"/>
      <c r="K40" s="39"/>
    </row>
    <row r="41" spans="1:23" ht="12.75" customHeight="1" x14ac:dyDescent="0.25">
      <c r="A41" s="47" t="s">
        <v>665</v>
      </c>
      <c r="B41" s="36"/>
      <c r="C41" s="38"/>
      <c r="D41" s="38"/>
      <c r="E41" s="39"/>
      <c r="F41" s="39"/>
      <c r="G41" s="39"/>
      <c r="H41" s="39"/>
      <c r="I41" s="39"/>
      <c r="J41" s="39"/>
      <c r="K41" s="39"/>
    </row>
    <row r="42" spans="1:23" ht="12.75" customHeight="1" x14ac:dyDescent="0.25">
      <c r="A42" s="541" t="s">
        <v>664</v>
      </c>
      <c r="B42" s="36"/>
      <c r="C42" s="38"/>
      <c r="D42" s="38"/>
      <c r="E42" s="39"/>
      <c r="F42" s="39"/>
      <c r="G42" s="39"/>
      <c r="H42" s="39"/>
      <c r="I42" s="39"/>
      <c r="J42" s="39"/>
      <c r="K42" s="39"/>
    </row>
    <row r="43" spans="1:23" ht="12.75" customHeight="1" x14ac:dyDescent="0.25">
      <c r="A43" s="42"/>
      <c r="B43" s="36"/>
      <c r="C43" s="38"/>
      <c r="D43" s="38"/>
      <c r="E43" s="39"/>
      <c r="F43" s="39"/>
      <c r="G43" s="39"/>
      <c r="H43" s="39"/>
      <c r="I43" s="39"/>
      <c r="J43" s="39"/>
      <c r="K43" s="39"/>
    </row>
    <row r="44" spans="1:23" ht="12.75" customHeight="1" x14ac:dyDescent="0.25">
      <c r="A44" s="41"/>
      <c r="B44" s="41" t="s">
        <v>155</v>
      </c>
      <c r="C44" s="26">
        <f>C39-('D4-FinPos'!C6+'D4-FinPos'!C7+'D4-FinPos'!C16-'D4-FinPos'!C27)</f>
        <v>10</v>
      </c>
      <c r="D44" s="26">
        <f>D39-('D4-FinPos'!D6+'D4-FinPos'!D7+'D4-FinPos'!D16-'D4-FinPos'!D27)</f>
        <v>10</v>
      </c>
      <c r="E44" s="26">
        <f>E39-('D4-FinPos'!E6+'D4-FinPos'!E7+'D4-FinPos'!E16-'D4-FinPos'!E27)</f>
        <v>11</v>
      </c>
      <c r="F44" s="26">
        <f>F39-('D4-FinPos'!F6+'D4-FinPos'!F7+'D4-FinPos'!F16-'D4-FinPos'!F27)</f>
        <v>-445</v>
      </c>
      <c r="G44" s="26">
        <f>G39-('D4-FinPos'!G6+'D4-FinPos'!G7+'D4-FinPos'!G16-'D4-FinPos'!G27)</f>
        <v>-445</v>
      </c>
      <c r="H44" s="26">
        <f>H39-('D4-FinPos'!H6+'D4-FinPos'!H7+'D4-FinPos'!H16-'D4-FinPos'!H27)</f>
        <v>10</v>
      </c>
      <c r="I44" s="26">
        <f>I39-('D4-FinPos'!I6+'D4-FinPos'!I7+'D4-FinPos'!I16-'D4-FinPos'!I27)</f>
        <v>234517.29000000097</v>
      </c>
      <c r="J44" s="26">
        <f>J39-('D4-FinPos'!J6+'D4-FinPos'!J7+'D4-FinPos'!J16-'D4-FinPos'!J27)</f>
        <v>483300.28000000119</v>
      </c>
      <c r="K44" s="26">
        <f>K39-('D4-FinPos'!K6+'D4-FinPos'!K7+'D4-FinPos'!K16-'D4-FinPos'!K27)</f>
        <v>747010.26000000164</v>
      </c>
    </row>
    <row r="45" spans="1:23" ht="11.25" customHeight="1" x14ac:dyDescent="0.25">
      <c r="A45" s="41"/>
      <c r="B45" s="40"/>
      <c r="C45" s="41"/>
    </row>
    <row r="46" spans="1:23" ht="11.25" customHeight="1" x14ac:dyDescent="0.25"/>
    <row r="47" spans="1:23" ht="11.25" customHeight="1" x14ac:dyDescent="0.25"/>
    <row r="48" spans="1:23" ht="11.25" customHeight="1" x14ac:dyDescent="0.25"/>
    <row r="49" ht="11.25" customHeight="1" x14ac:dyDescent="0.25"/>
    <row r="50" ht="11.25" customHeight="1" x14ac:dyDescent="0.25"/>
    <row r="51" ht="11.25" customHeight="1" x14ac:dyDescent="0.25"/>
    <row r="52" ht="11.25" customHeight="1" x14ac:dyDescent="0.25"/>
    <row r="53" ht="11.25" customHeight="1" x14ac:dyDescent="0.25"/>
    <row r="54" ht="11.25" customHeight="1" x14ac:dyDescent="0.25"/>
    <row r="55" ht="11.25" customHeight="1" x14ac:dyDescent="0.25"/>
    <row r="56" ht="11.25" customHeight="1" x14ac:dyDescent="0.25"/>
    <row r="57" ht="11.25" customHeight="1" x14ac:dyDescent="0.25"/>
    <row r="58" ht="11.25" customHeight="1" x14ac:dyDescent="0.25"/>
    <row r="59" ht="11.25" customHeight="1" x14ac:dyDescent="0.25"/>
    <row r="60" ht="11.25" customHeight="1" x14ac:dyDescent="0.25"/>
    <row r="61" ht="11.25" customHeight="1" x14ac:dyDescent="0.25"/>
    <row r="62" ht="11.25" customHeight="1" x14ac:dyDescent="0.25"/>
    <row r="63" ht="11.25" customHeight="1" x14ac:dyDescent="0.25"/>
    <row r="64"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sheetData>
  <sheetProtection password="A35B" sheet="1" objects="1" scenarios="1"/>
  <mergeCells count="1">
    <mergeCell ref="F2:H2"/>
  </mergeCells>
  <phoneticPr fontId="2" type="noConversion"/>
  <printOptions horizontalCentered="1"/>
  <pageMargins left="0.35433070866141736" right="0.15748031496062992" top="0.78740157480314965" bottom="0.59055118110236227" header="0.51181102362204722" footer="0.39370078740157483"/>
  <pageSetup paperSize="9" scale="85"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E36BBE8EEE8494D9F7D5B3DE9421035" ma:contentTypeVersion="1" ma:contentTypeDescription="Create a new document." ma:contentTypeScope="" ma:versionID="bf16d41935080ce22b175407d956219d">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327221A0-8C61-45CD-AA86-CC5501D8C482}">
  <ds:schemaRefs>
    <ds:schemaRef ds:uri="http://schemas.microsoft.com/office/2006/documentManagement/types"/>
    <ds:schemaRef ds:uri="http://schemas.microsoft.com/sharepoint/v3"/>
    <ds:schemaRef ds:uri="http://www.w3.org/XML/1998/namespace"/>
    <ds:schemaRef ds:uri="http://schemas.openxmlformats.org/package/2006/metadata/core-properties"/>
    <ds:schemaRef ds:uri="http://purl.org/dc/terms/"/>
    <ds:schemaRef ds:uri="http://purl.org/dc/elements/1.1/"/>
    <ds:schemaRef ds:uri="http://purl.org/dc/dcmitype/"/>
    <ds:schemaRef ds:uri="http://schemas.microsoft.com/office/2006/metadata/properties"/>
  </ds:schemaRefs>
</ds:datastoreItem>
</file>

<file path=customXml/itemProps2.xml><?xml version="1.0" encoding="utf-8"?>
<ds:datastoreItem xmlns:ds="http://schemas.openxmlformats.org/officeDocument/2006/customXml" ds:itemID="{6D8C1ABC-CEB9-4CD3-B804-C651F33A3757}">
  <ds:schemaRefs>
    <ds:schemaRef ds:uri="http://schemas.microsoft.com/sharepoint/v3/contenttype/forms"/>
  </ds:schemaRefs>
</ds:datastoreItem>
</file>

<file path=customXml/itemProps3.xml><?xml version="1.0" encoding="utf-8"?>
<ds:datastoreItem xmlns:ds="http://schemas.openxmlformats.org/officeDocument/2006/customXml" ds:itemID="{F5CF676E-C663-456D-8BCA-AF8D71683F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117</vt:i4>
      </vt:variant>
    </vt:vector>
  </HeadingPairs>
  <TitlesOfParts>
    <vt:vector size="139" baseType="lpstr">
      <vt:lpstr>START</vt:lpstr>
      <vt:lpstr>Instructions</vt:lpstr>
      <vt:lpstr>D1-Sum</vt:lpstr>
      <vt:lpstr>D2-FinPerf</vt:lpstr>
      <vt:lpstr>D3-Capex</vt:lpstr>
      <vt:lpstr>D4-FinPos</vt:lpstr>
      <vt:lpstr>D5-CFlow</vt:lpstr>
      <vt:lpstr>SD1</vt:lpstr>
      <vt:lpstr>SD2</vt:lpstr>
      <vt:lpstr>SD3</vt:lpstr>
      <vt:lpstr>SD4</vt:lpstr>
      <vt:lpstr>SD5</vt:lpstr>
      <vt:lpstr>SD6</vt:lpstr>
      <vt:lpstr>SD7a</vt:lpstr>
      <vt:lpstr>SD7b</vt:lpstr>
      <vt:lpstr>SD7c</vt:lpstr>
      <vt:lpstr>SD8</vt:lpstr>
      <vt:lpstr>SD9</vt:lpstr>
      <vt:lpstr>SD10</vt:lpstr>
      <vt:lpstr>SD11</vt:lpstr>
      <vt:lpstr>Sheet1</vt:lpstr>
      <vt:lpstr>Sheet2</vt:lpstr>
      <vt:lpstr>_MEB1</vt:lpstr>
      <vt:lpstr>_MEB10</vt:lpstr>
      <vt:lpstr>_MEB11</vt:lpstr>
      <vt:lpstr>_MEB12</vt:lpstr>
      <vt:lpstr>_MEB13</vt:lpstr>
      <vt:lpstr>_MEB2</vt:lpstr>
      <vt:lpstr>_MEB3</vt:lpstr>
      <vt:lpstr>_MEB4</vt:lpstr>
      <vt:lpstr>_MEB5</vt:lpstr>
      <vt:lpstr>_MEB6</vt:lpstr>
      <vt:lpstr>_MEB7</vt:lpstr>
      <vt:lpstr>_MEB8</vt:lpstr>
      <vt:lpstr>basedesc</vt:lpstr>
      <vt:lpstr>Capex</vt:lpstr>
      <vt:lpstr>Cash1</vt:lpstr>
      <vt:lpstr>Cash2</vt:lpstr>
      <vt:lpstr>desc</vt:lpstr>
      <vt:lpstr>entity</vt:lpstr>
      <vt:lpstr>entityshort</vt:lpstr>
      <vt:lpstr>fdil</vt:lpstr>
      <vt:lpstr>Instructions!FinYear</vt:lpstr>
      <vt:lpstr>Head1</vt:lpstr>
      <vt:lpstr>Head10</vt:lpstr>
      <vt:lpstr>Head11</vt:lpstr>
      <vt:lpstr>Head12</vt:lpstr>
      <vt:lpstr>Head13</vt:lpstr>
      <vt:lpstr>Head14</vt:lpstr>
      <vt:lpstr>Head15</vt:lpstr>
      <vt:lpstr>Head16</vt:lpstr>
      <vt:lpstr>Head17</vt:lpstr>
      <vt:lpstr>Head18</vt:lpstr>
      <vt:lpstr>Head19</vt:lpstr>
      <vt:lpstr>head1A</vt:lpstr>
      <vt:lpstr>head1b</vt:lpstr>
      <vt:lpstr>Head2</vt:lpstr>
      <vt:lpstr>Head20</vt:lpstr>
      <vt:lpstr>Head21</vt:lpstr>
      <vt:lpstr>Head22</vt:lpstr>
      <vt:lpstr>Head23</vt:lpstr>
      <vt:lpstr>Head24</vt:lpstr>
      <vt:lpstr>head27</vt:lpstr>
      <vt:lpstr>head27a</vt:lpstr>
      <vt:lpstr>Head29</vt:lpstr>
      <vt:lpstr>Head2A</vt:lpstr>
      <vt:lpstr>Head3</vt:lpstr>
      <vt:lpstr>Head30</vt:lpstr>
      <vt:lpstr>Head31</vt:lpstr>
      <vt:lpstr>Head32</vt:lpstr>
      <vt:lpstr>Head33</vt:lpstr>
      <vt:lpstr>Head34</vt:lpstr>
      <vt:lpstr>Head35</vt:lpstr>
      <vt:lpstr>Head36</vt:lpstr>
      <vt:lpstr>Head37</vt:lpstr>
      <vt:lpstr>Head38</vt:lpstr>
      <vt:lpstr>Head39</vt:lpstr>
      <vt:lpstr>Head3a</vt:lpstr>
      <vt:lpstr>Head4</vt:lpstr>
      <vt:lpstr>Head40</vt:lpstr>
      <vt:lpstr>Head41</vt:lpstr>
      <vt:lpstr>Head42</vt:lpstr>
      <vt:lpstr>Head43</vt:lpstr>
      <vt:lpstr>Head44</vt:lpstr>
      <vt:lpstr>Head45</vt:lpstr>
      <vt:lpstr>head46</vt:lpstr>
      <vt:lpstr>Head47</vt:lpstr>
      <vt:lpstr>Head48</vt:lpstr>
      <vt:lpstr>Head49</vt:lpstr>
      <vt:lpstr>Head5</vt:lpstr>
      <vt:lpstr>Head50</vt:lpstr>
      <vt:lpstr>Head51</vt:lpstr>
      <vt:lpstr>Head52</vt:lpstr>
      <vt:lpstr>Head53</vt:lpstr>
      <vt:lpstr>Head54</vt:lpstr>
      <vt:lpstr>Head55</vt:lpstr>
      <vt:lpstr>Head56</vt:lpstr>
      <vt:lpstr>Head57</vt:lpstr>
      <vt:lpstr>Head58</vt:lpstr>
      <vt:lpstr>Head59</vt:lpstr>
      <vt:lpstr>Head5A</vt:lpstr>
      <vt:lpstr>Head5b</vt:lpstr>
      <vt:lpstr>Head6</vt:lpstr>
      <vt:lpstr>Head7</vt:lpstr>
      <vt:lpstr>Head8</vt:lpstr>
      <vt:lpstr>Head9</vt:lpstr>
      <vt:lpstr>Headings</vt:lpstr>
      <vt:lpstr>MEB5a</vt:lpstr>
      <vt:lpstr>MEB5b</vt:lpstr>
      <vt:lpstr>MEB9a</vt:lpstr>
      <vt:lpstr>MEB9b</vt:lpstr>
      <vt:lpstr>MEB9c</vt:lpstr>
      <vt:lpstr>MEBsum</vt:lpstr>
      <vt:lpstr>Instructions!MTREF</vt:lpstr>
      <vt:lpstr>MTREF</vt:lpstr>
      <vt:lpstr>'D1-Sum'!Print_Area</vt:lpstr>
      <vt:lpstr>'D2-FinPerf'!Print_Area</vt:lpstr>
      <vt:lpstr>'D4-FinPos'!Print_Area</vt:lpstr>
      <vt:lpstr>'D5-CFlow'!Print_Area</vt:lpstr>
      <vt:lpstr>Instructions!Print_Area</vt:lpstr>
      <vt:lpstr>'SD1'!Print_Area</vt:lpstr>
      <vt:lpstr>'SD10'!Print_Area</vt:lpstr>
      <vt:lpstr>'SD11'!Print_Area</vt:lpstr>
      <vt:lpstr>'SD2'!Print_Area</vt:lpstr>
      <vt:lpstr>'SD3'!Print_Area</vt:lpstr>
      <vt:lpstr>'SD4'!Print_Area</vt:lpstr>
      <vt:lpstr>'SD6'!Print_Area</vt:lpstr>
      <vt:lpstr>SD7a!Print_Area</vt:lpstr>
      <vt:lpstr>'SD8'!Print_Area</vt:lpstr>
      <vt:lpstr>'SD9'!Print_Area</vt:lpstr>
      <vt:lpstr>RandM</vt:lpstr>
      <vt:lpstr>result</vt:lpstr>
      <vt:lpstr>SFPerf1</vt:lpstr>
      <vt:lpstr>SFPerf2</vt:lpstr>
      <vt:lpstr>SFpos1</vt:lpstr>
      <vt:lpstr>SFpos2</vt:lpstr>
      <vt:lpstr>Table24</vt:lpstr>
      <vt:lpstr>TableA24</vt:lpstr>
      <vt:lpstr>Vdesc</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 Biewenga</dc:creator>
  <cp:lastModifiedBy>Johan Biewenga</cp:lastModifiedBy>
  <dcterms:created xsi:type="dcterms:W3CDTF">2016-03-14T12:50:57Z</dcterms:created>
  <dcterms:modified xsi:type="dcterms:W3CDTF">2016-05-31T14:06:31Z</dcterms:modified>
</cp:coreProperties>
</file>